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jcak\Desktop\ormož\2 ZDRAVILA\4 RAZPISNA DOKUMENTACIJA\"/>
    </mc:Choice>
  </mc:AlternateContent>
  <xr:revisionPtr revIDLastSave="0" documentId="13_ncr:1_{B3736534-CCD1-4A7C-879C-75329F9506B3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zobozdravstveni material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00" i="1" l="1"/>
  <c r="M300" i="1"/>
  <c r="O300" i="1" s="1"/>
  <c r="O299" i="1"/>
  <c r="N299" i="1"/>
  <c r="M299" i="1"/>
  <c r="N298" i="1"/>
  <c r="M298" i="1"/>
  <c r="O298" i="1" s="1"/>
  <c r="N297" i="1"/>
  <c r="M297" i="1"/>
  <c r="O297" i="1" s="1"/>
  <c r="O296" i="1"/>
  <c r="N296" i="1"/>
  <c r="M296" i="1"/>
  <c r="N295" i="1"/>
  <c r="M295" i="1"/>
  <c r="O295" i="1" s="1"/>
  <c r="O294" i="1"/>
  <c r="N294" i="1"/>
  <c r="M294" i="1"/>
  <c r="N293" i="1"/>
  <c r="N301" i="1" s="1"/>
  <c r="M293" i="1"/>
  <c r="O293" i="1" s="1"/>
  <c r="O284" i="1"/>
  <c r="N284" i="1"/>
  <c r="M284" i="1"/>
  <c r="D284" i="1"/>
  <c r="B284" i="1"/>
  <c r="N283" i="1"/>
  <c r="M283" i="1"/>
  <c r="O283" i="1" s="1"/>
  <c r="D283" i="1"/>
  <c r="B283" i="1"/>
  <c r="N282" i="1"/>
  <c r="M282" i="1"/>
  <c r="O282" i="1" s="1"/>
  <c r="D282" i="1"/>
  <c r="B282" i="1"/>
  <c r="N281" i="1"/>
  <c r="M281" i="1"/>
  <c r="O281" i="1" s="1"/>
  <c r="D281" i="1"/>
  <c r="B281" i="1"/>
  <c r="O280" i="1"/>
  <c r="N280" i="1"/>
  <c r="M280" i="1"/>
  <c r="D280" i="1"/>
  <c r="B280" i="1"/>
  <c r="O279" i="1"/>
  <c r="N279" i="1"/>
  <c r="M279" i="1"/>
  <c r="D279" i="1"/>
  <c r="B279" i="1"/>
  <c r="N278" i="1"/>
  <c r="M278" i="1"/>
  <c r="O278" i="1" s="1"/>
  <c r="D278" i="1"/>
  <c r="B278" i="1"/>
  <c r="O277" i="1"/>
  <c r="N277" i="1"/>
  <c r="M277" i="1"/>
  <c r="D277" i="1"/>
  <c r="B277" i="1"/>
  <c r="O276" i="1"/>
  <c r="N276" i="1"/>
  <c r="M276" i="1"/>
  <c r="D276" i="1"/>
  <c r="B276" i="1"/>
  <c r="O275" i="1"/>
  <c r="N275" i="1"/>
  <c r="M275" i="1"/>
  <c r="D275" i="1"/>
  <c r="B275" i="1"/>
  <c r="N274" i="1"/>
  <c r="M274" i="1"/>
  <c r="O274" i="1" s="1"/>
  <c r="D274" i="1"/>
  <c r="B274" i="1"/>
  <c r="N273" i="1"/>
  <c r="M273" i="1"/>
  <c r="O273" i="1" s="1"/>
  <c r="D273" i="1"/>
  <c r="B273" i="1"/>
  <c r="O272" i="1"/>
  <c r="N272" i="1"/>
  <c r="N285" i="1" s="1"/>
  <c r="M272" i="1"/>
  <c r="D272" i="1"/>
  <c r="C272" i="1"/>
  <c r="B272" i="1"/>
  <c r="O263" i="1"/>
  <c r="N263" i="1"/>
  <c r="M263" i="1"/>
  <c r="D263" i="1"/>
  <c r="C263" i="1"/>
  <c r="B263" i="1"/>
  <c r="N262" i="1"/>
  <c r="M262" i="1"/>
  <c r="O262" i="1" s="1"/>
  <c r="D262" i="1"/>
  <c r="C262" i="1"/>
  <c r="B262" i="1"/>
  <c r="N261" i="1"/>
  <c r="M261" i="1"/>
  <c r="O261" i="1" s="1"/>
  <c r="B261" i="1"/>
  <c r="O260" i="1"/>
  <c r="N260" i="1"/>
  <c r="M260" i="1"/>
  <c r="B260" i="1"/>
  <c r="O259" i="1"/>
  <c r="N259" i="1"/>
  <c r="M259" i="1"/>
  <c r="B259" i="1"/>
  <c r="O258" i="1"/>
  <c r="N258" i="1"/>
  <c r="M258" i="1"/>
  <c r="B258" i="1"/>
  <c r="O257" i="1"/>
  <c r="N257" i="1"/>
  <c r="N264" i="1" s="1"/>
  <c r="M257" i="1"/>
  <c r="D257" i="1"/>
  <c r="C257" i="1"/>
  <c r="B257" i="1"/>
  <c r="O248" i="1"/>
  <c r="N248" i="1"/>
  <c r="M248" i="1"/>
  <c r="B248" i="1"/>
  <c r="O247" i="1"/>
  <c r="N247" i="1"/>
  <c r="M247" i="1"/>
  <c r="B247" i="1"/>
  <c r="O246" i="1"/>
  <c r="N246" i="1"/>
  <c r="M246" i="1"/>
  <c r="D246" i="1"/>
  <c r="C246" i="1"/>
  <c r="B246" i="1"/>
  <c r="O245" i="1"/>
  <c r="O249" i="1" s="1"/>
  <c r="N245" i="1"/>
  <c r="N249" i="1" s="1"/>
  <c r="M245" i="1"/>
  <c r="D245" i="1"/>
  <c r="C245" i="1"/>
  <c r="B245" i="1"/>
  <c r="N236" i="1"/>
  <c r="M236" i="1"/>
  <c r="O236" i="1" s="1"/>
  <c r="D236" i="1"/>
  <c r="B236" i="1"/>
  <c r="O235" i="1"/>
  <c r="N235" i="1"/>
  <c r="M235" i="1"/>
  <c r="D235" i="1"/>
  <c r="B235" i="1"/>
  <c r="N234" i="1"/>
  <c r="M234" i="1"/>
  <c r="O234" i="1" s="1"/>
  <c r="D234" i="1"/>
  <c r="C234" i="1"/>
  <c r="B234" i="1"/>
  <c r="O233" i="1"/>
  <c r="N233" i="1"/>
  <c r="M233" i="1"/>
  <c r="D233" i="1"/>
  <c r="B233" i="1"/>
  <c r="O232" i="1"/>
  <c r="N232" i="1"/>
  <c r="M232" i="1"/>
  <c r="D232" i="1"/>
  <c r="B232" i="1"/>
  <c r="N231" i="1"/>
  <c r="M231" i="1"/>
  <c r="O231" i="1" s="1"/>
  <c r="D231" i="1"/>
  <c r="C231" i="1"/>
  <c r="B231" i="1"/>
  <c r="O230" i="1"/>
  <c r="N230" i="1"/>
  <c r="M230" i="1"/>
  <c r="D230" i="1"/>
  <c r="B230" i="1"/>
  <c r="O229" i="1"/>
  <c r="N229" i="1"/>
  <c r="M229" i="1"/>
  <c r="D229" i="1"/>
  <c r="B229" i="1"/>
  <c r="N228" i="1"/>
  <c r="M228" i="1"/>
  <c r="O228" i="1" s="1"/>
  <c r="D228" i="1"/>
  <c r="B228" i="1"/>
  <c r="O227" i="1"/>
  <c r="N227" i="1"/>
  <c r="M227" i="1"/>
  <c r="D227" i="1"/>
  <c r="B227" i="1"/>
  <c r="N226" i="1"/>
  <c r="M226" i="1"/>
  <c r="O226" i="1" s="1"/>
  <c r="B226" i="1"/>
  <c r="O225" i="1"/>
  <c r="N225" i="1"/>
  <c r="M225" i="1"/>
  <c r="D225" i="1"/>
  <c r="B225" i="1"/>
  <c r="O224" i="1"/>
  <c r="N224" i="1"/>
  <c r="M224" i="1"/>
  <c r="N223" i="1"/>
  <c r="M223" i="1"/>
  <c r="O223" i="1" s="1"/>
  <c r="N222" i="1"/>
  <c r="M222" i="1"/>
  <c r="O222" i="1" s="1"/>
  <c r="D222" i="1"/>
  <c r="C222" i="1"/>
  <c r="B222" i="1"/>
  <c r="N221" i="1"/>
  <c r="M221" i="1"/>
  <c r="O221" i="1" s="1"/>
  <c r="C221" i="1"/>
  <c r="B221" i="1"/>
  <c r="O220" i="1"/>
  <c r="N220" i="1"/>
  <c r="M220" i="1"/>
  <c r="D220" i="1"/>
  <c r="B220" i="1"/>
  <c r="N219" i="1"/>
  <c r="M219" i="1"/>
  <c r="O219" i="1" s="1"/>
  <c r="D219" i="1"/>
  <c r="B219" i="1"/>
  <c r="N218" i="1"/>
  <c r="M218" i="1"/>
  <c r="O218" i="1" s="1"/>
  <c r="N217" i="1"/>
  <c r="M217" i="1"/>
  <c r="O217" i="1" s="1"/>
  <c r="D217" i="1"/>
  <c r="C217" i="1"/>
  <c r="B217" i="1"/>
  <c r="N216" i="1"/>
  <c r="M216" i="1"/>
  <c r="O216" i="1" s="1"/>
  <c r="B216" i="1"/>
  <c r="O215" i="1"/>
  <c r="N215" i="1"/>
  <c r="M215" i="1"/>
  <c r="D215" i="1"/>
  <c r="B215" i="1"/>
  <c r="N214" i="1"/>
  <c r="M214" i="1"/>
  <c r="O214" i="1" s="1"/>
  <c r="B214" i="1"/>
  <c r="O213" i="1"/>
  <c r="N213" i="1"/>
  <c r="M213" i="1"/>
  <c r="B213" i="1"/>
  <c r="N212" i="1"/>
  <c r="M212" i="1"/>
  <c r="O212" i="1" s="1"/>
  <c r="D212" i="1"/>
  <c r="C212" i="1"/>
  <c r="B212" i="1"/>
  <c r="O211" i="1"/>
  <c r="N211" i="1"/>
  <c r="M211" i="1"/>
  <c r="B211" i="1"/>
  <c r="N210" i="1"/>
  <c r="M210" i="1"/>
  <c r="O210" i="1" s="1"/>
  <c r="D210" i="1"/>
  <c r="B210" i="1"/>
  <c r="N209" i="1"/>
  <c r="M209" i="1"/>
  <c r="O209" i="1" s="1"/>
  <c r="D209" i="1"/>
  <c r="B209" i="1"/>
  <c r="O208" i="1"/>
  <c r="N208" i="1"/>
  <c r="M208" i="1"/>
  <c r="N207" i="1"/>
  <c r="M207" i="1"/>
  <c r="O207" i="1" s="1"/>
  <c r="D207" i="1"/>
  <c r="B207" i="1"/>
  <c r="O206" i="1"/>
  <c r="N206" i="1"/>
  <c r="M206" i="1"/>
  <c r="D206" i="1"/>
  <c r="B206" i="1"/>
  <c r="N205" i="1"/>
  <c r="M205" i="1"/>
  <c r="O205" i="1" s="1"/>
  <c r="D205" i="1"/>
  <c r="C205" i="1"/>
  <c r="B205" i="1"/>
  <c r="N204" i="1"/>
  <c r="M204" i="1"/>
  <c r="O204" i="1" s="1"/>
  <c r="B204" i="1"/>
  <c r="O203" i="1"/>
  <c r="N203" i="1"/>
  <c r="M203" i="1"/>
  <c r="O202" i="1"/>
  <c r="N202" i="1"/>
  <c r="M202" i="1"/>
  <c r="D202" i="1"/>
  <c r="B202" i="1"/>
  <c r="O201" i="1"/>
  <c r="N201" i="1"/>
  <c r="M201" i="1"/>
  <c r="C201" i="1"/>
  <c r="B201" i="1"/>
  <c r="N200" i="1"/>
  <c r="M200" i="1"/>
  <c r="O200" i="1" s="1"/>
  <c r="D200" i="1"/>
  <c r="B200" i="1"/>
  <c r="O199" i="1"/>
  <c r="N199" i="1"/>
  <c r="M199" i="1"/>
  <c r="B199" i="1"/>
  <c r="N198" i="1"/>
  <c r="M198" i="1"/>
  <c r="O198" i="1" s="1"/>
  <c r="B198" i="1"/>
  <c r="O197" i="1"/>
  <c r="N197" i="1"/>
  <c r="M197" i="1"/>
  <c r="D197" i="1"/>
  <c r="B197" i="1"/>
  <c r="N196" i="1"/>
  <c r="M196" i="1"/>
  <c r="O196" i="1" s="1"/>
  <c r="D196" i="1"/>
  <c r="B196" i="1"/>
  <c r="N195" i="1"/>
  <c r="M195" i="1"/>
  <c r="O195" i="1" s="1"/>
  <c r="N194" i="1"/>
  <c r="M194" i="1"/>
  <c r="O194" i="1" s="1"/>
  <c r="B194" i="1"/>
  <c r="O193" i="1"/>
  <c r="N193" i="1"/>
  <c r="M193" i="1"/>
  <c r="D193" i="1"/>
  <c r="B193" i="1"/>
  <c r="O192" i="1"/>
  <c r="N192" i="1"/>
  <c r="M192" i="1"/>
  <c r="D192" i="1"/>
  <c r="B192" i="1"/>
  <c r="N191" i="1"/>
  <c r="M191" i="1"/>
  <c r="O191" i="1" s="1"/>
  <c r="D191" i="1"/>
  <c r="C191" i="1"/>
  <c r="B191" i="1"/>
  <c r="O190" i="1"/>
  <c r="N190" i="1"/>
  <c r="M190" i="1"/>
  <c r="B190" i="1"/>
  <c r="N189" i="1"/>
  <c r="M189" i="1"/>
  <c r="O189" i="1" s="1"/>
  <c r="B189" i="1"/>
  <c r="O188" i="1"/>
  <c r="N188" i="1"/>
  <c r="M188" i="1"/>
  <c r="D188" i="1"/>
  <c r="B188" i="1"/>
  <c r="O187" i="1"/>
  <c r="N187" i="1"/>
  <c r="M187" i="1"/>
  <c r="D187" i="1"/>
  <c r="C187" i="1"/>
  <c r="B187" i="1"/>
  <c r="N186" i="1"/>
  <c r="M186" i="1"/>
  <c r="O186" i="1" s="1"/>
  <c r="D186" i="1"/>
  <c r="B186" i="1"/>
  <c r="O185" i="1"/>
  <c r="N185" i="1"/>
  <c r="M185" i="1"/>
  <c r="D185" i="1"/>
  <c r="B185" i="1"/>
  <c r="O184" i="1"/>
  <c r="N184" i="1"/>
  <c r="M184" i="1"/>
  <c r="D184" i="1"/>
  <c r="B184" i="1"/>
  <c r="O183" i="1"/>
  <c r="N183" i="1"/>
  <c r="M183" i="1"/>
  <c r="D183" i="1"/>
  <c r="C183" i="1"/>
  <c r="B183" i="1"/>
  <c r="O182" i="1"/>
  <c r="N182" i="1"/>
  <c r="M182" i="1"/>
  <c r="D182" i="1"/>
  <c r="B182" i="1"/>
  <c r="O181" i="1"/>
  <c r="N181" i="1"/>
  <c r="M181" i="1"/>
  <c r="D181" i="1"/>
  <c r="B181" i="1"/>
  <c r="O180" i="1"/>
  <c r="N180" i="1"/>
  <c r="M180" i="1"/>
  <c r="D180" i="1"/>
  <c r="B180" i="1"/>
  <c r="O179" i="1"/>
  <c r="N179" i="1"/>
  <c r="M179" i="1"/>
  <c r="B179" i="1"/>
  <c r="N178" i="1"/>
  <c r="M178" i="1"/>
  <c r="O178" i="1" s="1"/>
  <c r="B178" i="1"/>
  <c r="O177" i="1"/>
  <c r="N177" i="1"/>
  <c r="M177" i="1"/>
  <c r="B177" i="1"/>
  <c r="N176" i="1"/>
  <c r="M176" i="1"/>
  <c r="O176" i="1" s="1"/>
  <c r="D176" i="1"/>
  <c r="B176" i="1"/>
  <c r="N175" i="1"/>
  <c r="N237" i="1" s="1"/>
  <c r="M175" i="1"/>
  <c r="O175" i="1" s="1"/>
  <c r="O237" i="1" s="1"/>
  <c r="D175" i="1"/>
  <c r="C175" i="1"/>
  <c r="B175" i="1"/>
  <c r="N166" i="1"/>
  <c r="M166" i="1"/>
  <c r="O166" i="1" s="1"/>
  <c r="D166" i="1"/>
  <c r="B166" i="1"/>
  <c r="O165" i="1"/>
  <c r="N165" i="1"/>
  <c r="M165" i="1"/>
  <c r="D165" i="1"/>
  <c r="B165" i="1"/>
  <c r="O164" i="1"/>
  <c r="N164" i="1"/>
  <c r="M164" i="1"/>
  <c r="B164" i="1"/>
  <c r="O163" i="1"/>
  <c r="N163" i="1"/>
  <c r="M163" i="1"/>
  <c r="D163" i="1"/>
  <c r="B163" i="1"/>
  <c r="N162" i="1"/>
  <c r="M162" i="1"/>
  <c r="O162" i="1" s="1"/>
  <c r="D162" i="1"/>
  <c r="B162" i="1"/>
  <c r="N161" i="1"/>
  <c r="N167" i="1" s="1"/>
  <c r="M161" i="1"/>
  <c r="O161" i="1" s="1"/>
  <c r="B161" i="1"/>
  <c r="O152" i="1"/>
  <c r="N152" i="1"/>
  <c r="M152" i="1"/>
  <c r="C152" i="1"/>
  <c r="B152" i="1"/>
  <c r="N151" i="1"/>
  <c r="M151" i="1"/>
  <c r="O151" i="1" s="1"/>
  <c r="C151" i="1"/>
  <c r="B151" i="1"/>
  <c r="N150" i="1"/>
  <c r="M150" i="1"/>
  <c r="O150" i="1" s="1"/>
  <c r="D150" i="1"/>
  <c r="C150" i="1"/>
  <c r="B150" i="1"/>
  <c r="O149" i="1"/>
  <c r="N149" i="1"/>
  <c r="M149" i="1"/>
  <c r="D149" i="1"/>
  <c r="C149" i="1"/>
  <c r="B149" i="1"/>
  <c r="N148" i="1"/>
  <c r="M148" i="1"/>
  <c r="O148" i="1" s="1"/>
  <c r="D148" i="1"/>
  <c r="C148" i="1"/>
  <c r="B148" i="1"/>
  <c r="O147" i="1"/>
  <c r="N147" i="1"/>
  <c r="M147" i="1"/>
  <c r="C147" i="1"/>
  <c r="B147" i="1"/>
  <c r="O146" i="1"/>
  <c r="N146" i="1"/>
  <c r="M146" i="1"/>
  <c r="D146" i="1"/>
  <c r="C146" i="1"/>
  <c r="B146" i="1"/>
  <c r="O145" i="1"/>
  <c r="N145" i="1"/>
  <c r="M145" i="1"/>
  <c r="D145" i="1"/>
  <c r="C145" i="1"/>
  <c r="B145" i="1"/>
  <c r="N144" i="1"/>
  <c r="M144" i="1"/>
  <c r="O144" i="1" s="1"/>
  <c r="D144" i="1"/>
  <c r="C144" i="1"/>
  <c r="B144" i="1"/>
  <c r="N143" i="1"/>
  <c r="M143" i="1"/>
  <c r="O143" i="1" s="1"/>
  <c r="C143" i="1"/>
  <c r="B143" i="1"/>
  <c r="O142" i="1"/>
  <c r="N142" i="1"/>
  <c r="M142" i="1"/>
  <c r="D142" i="1"/>
  <c r="C142" i="1"/>
  <c r="B142" i="1"/>
  <c r="N141" i="1"/>
  <c r="N153" i="1" s="1"/>
  <c r="M141" i="1"/>
  <c r="O141" i="1" s="1"/>
  <c r="D141" i="1"/>
  <c r="C141" i="1"/>
  <c r="B141" i="1"/>
  <c r="N132" i="1"/>
  <c r="M132" i="1"/>
  <c r="O132" i="1" s="1"/>
  <c r="B132" i="1"/>
  <c r="N131" i="1"/>
  <c r="M131" i="1"/>
  <c r="O131" i="1" s="1"/>
  <c r="N130" i="1"/>
  <c r="M130" i="1"/>
  <c r="O130" i="1" s="1"/>
  <c r="D130" i="1"/>
  <c r="C130" i="1"/>
  <c r="B130" i="1"/>
  <c r="N129" i="1"/>
  <c r="M129" i="1"/>
  <c r="O129" i="1" s="1"/>
  <c r="D129" i="1"/>
  <c r="C129" i="1"/>
  <c r="B129" i="1"/>
  <c r="O128" i="1"/>
  <c r="N128" i="1"/>
  <c r="M128" i="1"/>
  <c r="D128" i="1"/>
  <c r="C128" i="1"/>
  <c r="B128" i="1"/>
  <c r="O127" i="1"/>
  <c r="N127" i="1"/>
  <c r="M127" i="1"/>
  <c r="D127" i="1"/>
  <c r="C127" i="1"/>
  <c r="B127" i="1"/>
  <c r="N126" i="1"/>
  <c r="M126" i="1"/>
  <c r="O126" i="1" s="1"/>
  <c r="D126" i="1"/>
  <c r="B126" i="1"/>
  <c r="N125" i="1"/>
  <c r="M125" i="1"/>
  <c r="O125" i="1" s="1"/>
  <c r="D125" i="1"/>
  <c r="B125" i="1"/>
  <c r="O124" i="1"/>
  <c r="N124" i="1"/>
  <c r="M124" i="1"/>
  <c r="D124" i="1"/>
  <c r="B124" i="1"/>
  <c r="O123" i="1"/>
  <c r="N123" i="1"/>
  <c r="M123" i="1"/>
  <c r="D123" i="1"/>
  <c r="O122" i="1"/>
  <c r="N122" i="1"/>
  <c r="M122" i="1"/>
  <c r="D122" i="1"/>
  <c r="C122" i="1"/>
  <c r="B122" i="1"/>
  <c r="N121" i="1"/>
  <c r="M121" i="1"/>
  <c r="O121" i="1" s="1"/>
  <c r="D121" i="1"/>
  <c r="B121" i="1"/>
  <c r="N120" i="1"/>
  <c r="M120" i="1"/>
  <c r="O120" i="1" s="1"/>
  <c r="D120" i="1"/>
  <c r="B120" i="1"/>
  <c r="O119" i="1"/>
  <c r="N119" i="1"/>
  <c r="M119" i="1"/>
  <c r="D119" i="1"/>
  <c r="B119" i="1"/>
  <c r="N118" i="1"/>
  <c r="M118" i="1"/>
  <c r="O118" i="1" s="1"/>
  <c r="D118" i="1"/>
  <c r="C118" i="1"/>
  <c r="B118" i="1"/>
  <c r="N117" i="1"/>
  <c r="M117" i="1"/>
  <c r="O117" i="1" s="1"/>
  <c r="N116" i="1"/>
  <c r="M116" i="1"/>
  <c r="O116" i="1" s="1"/>
  <c r="O115" i="1"/>
  <c r="N115" i="1"/>
  <c r="M115" i="1"/>
  <c r="D115" i="1"/>
  <c r="C115" i="1"/>
  <c r="B115" i="1"/>
  <c r="O114" i="1"/>
  <c r="N114" i="1"/>
  <c r="M114" i="1"/>
  <c r="D114" i="1"/>
  <c r="B114" i="1"/>
  <c r="O113" i="1"/>
  <c r="N113" i="1"/>
  <c r="N133" i="1" s="1"/>
  <c r="M113" i="1"/>
  <c r="D113" i="1"/>
  <c r="C113" i="1"/>
  <c r="B113" i="1"/>
  <c r="O104" i="1"/>
  <c r="N104" i="1"/>
  <c r="M104" i="1"/>
  <c r="C104" i="1"/>
  <c r="B104" i="1"/>
  <c r="O103" i="1"/>
  <c r="N103" i="1"/>
  <c r="M103" i="1"/>
  <c r="D103" i="1"/>
  <c r="C103" i="1"/>
  <c r="B103" i="1"/>
  <c r="O102" i="1"/>
  <c r="N102" i="1"/>
  <c r="M102" i="1"/>
  <c r="C102" i="1"/>
  <c r="B102" i="1"/>
  <c r="O101" i="1"/>
  <c r="N101" i="1"/>
  <c r="M101" i="1"/>
  <c r="C101" i="1"/>
  <c r="B101" i="1"/>
  <c r="O100" i="1"/>
  <c r="N100" i="1"/>
  <c r="M100" i="1"/>
  <c r="C100" i="1"/>
  <c r="B100" i="1"/>
  <c r="N99" i="1"/>
  <c r="M99" i="1"/>
  <c r="O99" i="1" s="1"/>
  <c r="C99" i="1"/>
  <c r="B99" i="1"/>
  <c r="N98" i="1"/>
  <c r="M98" i="1"/>
  <c r="O98" i="1" s="1"/>
  <c r="C98" i="1"/>
  <c r="B98" i="1"/>
  <c r="O97" i="1"/>
  <c r="N97" i="1"/>
  <c r="M97" i="1"/>
  <c r="D97" i="1"/>
  <c r="C97" i="1"/>
  <c r="B97" i="1"/>
  <c r="N96" i="1"/>
  <c r="M96" i="1"/>
  <c r="O96" i="1" s="1"/>
  <c r="D96" i="1"/>
  <c r="C96" i="1"/>
  <c r="B96" i="1"/>
  <c r="O95" i="1"/>
  <c r="N95" i="1"/>
  <c r="M95" i="1"/>
  <c r="D95" i="1"/>
  <c r="C95" i="1"/>
  <c r="B95" i="1"/>
  <c r="N94" i="1"/>
  <c r="M94" i="1"/>
  <c r="O94" i="1" s="1"/>
  <c r="C94" i="1"/>
  <c r="B94" i="1"/>
  <c r="O93" i="1"/>
  <c r="N93" i="1"/>
  <c r="M93" i="1"/>
  <c r="D93" i="1"/>
  <c r="C93" i="1"/>
  <c r="B93" i="1"/>
  <c r="N92" i="1"/>
  <c r="M92" i="1"/>
  <c r="O92" i="1" s="1"/>
  <c r="C92" i="1"/>
  <c r="B92" i="1"/>
  <c r="N91" i="1"/>
  <c r="M91" i="1"/>
  <c r="O91" i="1" s="1"/>
  <c r="C91" i="1"/>
  <c r="B91" i="1"/>
  <c r="O90" i="1"/>
  <c r="N90" i="1"/>
  <c r="M90" i="1"/>
  <c r="D90" i="1"/>
  <c r="C90" i="1"/>
  <c r="B90" i="1"/>
  <c r="N89" i="1"/>
  <c r="M89" i="1"/>
  <c r="O89" i="1" s="1"/>
  <c r="C89" i="1"/>
  <c r="B89" i="1"/>
  <c r="N88" i="1"/>
  <c r="M88" i="1"/>
  <c r="O88" i="1" s="1"/>
  <c r="D88" i="1"/>
  <c r="C88" i="1"/>
  <c r="B88" i="1"/>
  <c r="O87" i="1"/>
  <c r="N87" i="1"/>
  <c r="M87" i="1"/>
  <c r="D87" i="1"/>
  <c r="C87" i="1"/>
  <c r="B87" i="1"/>
  <c r="N86" i="1"/>
  <c r="M86" i="1"/>
  <c r="O86" i="1" s="1"/>
  <c r="D86" i="1"/>
  <c r="C86" i="1"/>
  <c r="B86" i="1"/>
  <c r="O85" i="1"/>
  <c r="N85" i="1"/>
  <c r="M85" i="1"/>
  <c r="C85" i="1"/>
  <c r="B85" i="1"/>
  <c r="O84" i="1"/>
  <c r="N84" i="1"/>
  <c r="M84" i="1"/>
  <c r="C84" i="1"/>
  <c r="B84" i="1"/>
  <c r="N83" i="1"/>
  <c r="M83" i="1"/>
  <c r="O83" i="1" s="1"/>
  <c r="D83" i="1"/>
  <c r="C83" i="1"/>
  <c r="B83" i="1"/>
  <c r="O82" i="1"/>
  <c r="N82" i="1"/>
  <c r="M82" i="1"/>
  <c r="D82" i="1"/>
  <c r="C82" i="1"/>
  <c r="B82" i="1"/>
  <c r="N81" i="1"/>
  <c r="M81" i="1"/>
  <c r="O81" i="1" s="1"/>
  <c r="C81" i="1"/>
  <c r="B81" i="1"/>
  <c r="O80" i="1"/>
  <c r="N80" i="1"/>
  <c r="M80" i="1"/>
  <c r="D80" i="1"/>
  <c r="C80" i="1"/>
  <c r="B80" i="1"/>
  <c r="N79" i="1"/>
  <c r="M79" i="1"/>
  <c r="O79" i="1" s="1"/>
  <c r="D79" i="1"/>
  <c r="C79" i="1"/>
  <c r="B79" i="1"/>
  <c r="N78" i="1"/>
  <c r="N105" i="1" s="1"/>
  <c r="M78" i="1"/>
  <c r="O78" i="1" s="1"/>
  <c r="O105" i="1" s="1"/>
  <c r="D78" i="1"/>
  <c r="C78" i="1"/>
  <c r="B78" i="1"/>
  <c r="N69" i="1"/>
  <c r="M69" i="1"/>
  <c r="O69" i="1" s="1"/>
  <c r="C69" i="1"/>
  <c r="B69" i="1"/>
  <c r="O68" i="1"/>
  <c r="N68" i="1"/>
  <c r="N70" i="1" s="1"/>
  <c r="M68" i="1"/>
  <c r="C68" i="1"/>
  <c r="B68" i="1"/>
  <c r="N67" i="1"/>
  <c r="M67" i="1"/>
  <c r="O67" i="1" s="1"/>
  <c r="C67" i="1"/>
  <c r="B67" i="1"/>
  <c r="N66" i="1"/>
  <c r="M66" i="1"/>
  <c r="O66" i="1" s="1"/>
  <c r="D66" i="1"/>
  <c r="C66" i="1"/>
  <c r="B66" i="1"/>
  <c r="N57" i="1"/>
  <c r="M57" i="1"/>
  <c r="O57" i="1" s="1"/>
  <c r="D57" i="1"/>
  <c r="C57" i="1"/>
  <c r="B57" i="1"/>
  <c r="O56" i="1"/>
  <c r="N56" i="1"/>
  <c r="M56" i="1"/>
  <c r="D56" i="1"/>
  <c r="C56" i="1"/>
  <c r="B56" i="1"/>
  <c r="N55" i="1"/>
  <c r="M55" i="1"/>
  <c r="O55" i="1" s="1"/>
  <c r="D55" i="1"/>
  <c r="C55" i="1"/>
  <c r="B55" i="1"/>
  <c r="O54" i="1"/>
  <c r="N54" i="1"/>
  <c r="M54" i="1"/>
  <c r="O53" i="1"/>
  <c r="N53" i="1"/>
  <c r="M53" i="1"/>
  <c r="N52" i="1"/>
  <c r="M52" i="1"/>
  <c r="O52" i="1" s="1"/>
  <c r="D52" i="1"/>
  <c r="C52" i="1"/>
  <c r="B52" i="1"/>
  <c r="O51" i="1"/>
  <c r="N51" i="1"/>
  <c r="M51" i="1"/>
  <c r="D51" i="1"/>
  <c r="C51" i="1"/>
  <c r="B51" i="1"/>
  <c r="N50" i="1"/>
  <c r="M50" i="1"/>
  <c r="O50" i="1" s="1"/>
  <c r="D50" i="1"/>
  <c r="C50" i="1"/>
  <c r="B50" i="1"/>
  <c r="O49" i="1"/>
  <c r="N49" i="1"/>
  <c r="M49" i="1"/>
  <c r="D49" i="1"/>
  <c r="C49" i="1"/>
  <c r="B49" i="1"/>
  <c r="N48" i="1"/>
  <c r="M48" i="1"/>
  <c r="O48" i="1" s="1"/>
  <c r="D48" i="1"/>
  <c r="C48" i="1"/>
  <c r="B48" i="1"/>
  <c r="O47" i="1"/>
  <c r="N47" i="1"/>
  <c r="M47" i="1"/>
  <c r="D47" i="1"/>
  <c r="C47" i="1"/>
  <c r="B47" i="1"/>
  <c r="N46" i="1"/>
  <c r="M46" i="1"/>
  <c r="O46" i="1" s="1"/>
  <c r="D46" i="1"/>
  <c r="C46" i="1"/>
  <c r="B46" i="1"/>
  <c r="O45" i="1"/>
  <c r="N45" i="1"/>
  <c r="M45" i="1"/>
  <c r="C45" i="1"/>
  <c r="B45" i="1"/>
  <c r="O44" i="1"/>
  <c r="N44" i="1"/>
  <c r="M44" i="1"/>
  <c r="D44" i="1"/>
  <c r="C44" i="1"/>
  <c r="B44" i="1"/>
  <c r="O43" i="1"/>
  <c r="N43" i="1"/>
  <c r="M43" i="1"/>
  <c r="D43" i="1"/>
  <c r="C43" i="1"/>
  <c r="B43" i="1"/>
  <c r="N42" i="1"/>
  <c r="M42" i="1"/>
  <c r="O42" i="1" s="1"/>
  <c r="D42" i="1"/>
  <c r="C42" i="1"/>
  <c r="B42" i="1"/>
  <c r="N41" i="1"/>
  <c r="M41" i="1"/>
  <c r="O41" i="1" s="1"/>
  <c r="D41" i="1"/>
  <c r="C41" i="1"/>
  <c r="B41" i="1"/>
  <c r="O40" i="1"/>
  <c r="N40" i="1"/>
  <c r="M40" i="1"/>
  <c r="C40" i="1"/>
  <c r="B40" i="1"/>
  <c r="N39" i="1"/>
  <c r="N58" i="1" s="1"/>
  <c r="M39" i="1"/>
  <c r="O39" i="1" s="1"/>
  <c r="D39" i="1"/>
  <c r="C39" i="1"/>
  <c r="B39" i="1"/>
  <c r="N30" i="1"/>
  <c r="M30" i="1"/>
  <c r="O30" i="1" s="1"/>
  <c r="D30" i="1"/>
  <c r="B30" i="1"/>
  <c r="N29" i="1"/>
  <c r="M29" i="1"/>
  <c r="O29" i="1" s="1"/>
  <c r="D29" i="1"/>
  <c r="B29" i="1"/>
  <c r="O28" i="1"/>
  <c r="N28" i="1"/>
  <c r="M28" i="1"/>
  <c r="D28" i="1"/>
  <c r="B28" i="1"/>
  <c r="N27" i="1"/>
  <c r="M27" i="1"/>
  <c r="O27" i="1" s="1"/>
  <c r="D27" i="1"/>
  <c r="B27" i="1"/>
  <c r="N26" i="1"/>
  <c r="M26" i="1"/>
  <c r="O26" i="1" s="1"/>
  <c r="B26" i="1"/>
  <c r="N25" i="1"/>
  <c r="M25" i="1"/>
  <c r="O25" i="1" s="1"/>
  <c r="D25" i="1"/>
  <c r="B25" i="1"/>
  <c r="N24" i="1"/>
  <c r="M24" i="1"/>
  <c r="O24" i="1" s="1"/>
  <c r="B24" i="1"/>
  <c r="O23" i="1"/>
  <c r="N23" i="1"/>
  <c r="M23" i="1"/>
  <c r="D23" i="1"/>
  <c r="B23" i="1"/>
  <c r="O22" i="1"/>
  <c r="N22" i="1"/>
  <c r="M22" i="1"/>
  <c r="B22" i="1"/>
  <c r="O21" i="1"/>
  <c r="N21" i="1"/>
  <c r="M21" i="1"/>
  <c r="B21" i="1"/>
  <c r="O20" i="1"/>
  <c r="N20" i="1"/>
  <c r="N31" i="1" s="1"/>
  <c r="M20" i="1"/>
  <c r="D20" i="1"/>
  <c r="B20" i="1"/>
  <c r="O19" i="1"/>
  <c r="N19" i="1"/>
  <c r="M19" i="1"/>
  <c r="B19" i="1"/>
  <c r="N18" i="1"/>
  <c r="M18" i="1"/>
  <c r="O18" i="1" s="1"/>
  <c r="O17" i="1"/>
  <c r="N17" i="1"/>
  <c r="M17" i="1"/>
  <c r="D17" i="1"/>
  <c r="B17" i="1"/>
  <c r="N16" i="1"/>
  <c r="M16" i="1"/>
  <c r="O16" i="1" s="1"/>
  <c r="D16" i="1"/>
  <c r="B16" i="1"/>
  <c r="N15" i="1"/>
  <c r="M15" i="1"/>
  <c r="O15" i="1" s="1"/>
  <c r="D15" i="1"/>
  <c r="B15" i="1"/>
  <c r="O133" i="1" l="1"/>
  <c r="O31" i="1"/>
  <c r="O167" i="1"/>
  <c r="O301" i="1"/>
  <c r="O306" i="1" s="1"/>
  <c r="O70" i="1"/>
  <c r="O264" i="1"/>
  <c r="O285" i="1"/>
  <c r="N306" i="1"/>
  <c r="O153" i="1"/>
  <c r="O58" i="1"/>
</calcChain>
</file>

<file path=xl/sharedStrings.xml><?xml version="1.0" encoding="utf-8"?>
<sst xmlns="http://schemas.openxmlformats.org/spreadsheetml/2006/main" count="445" uniqueCount="179">
  <si>
    <t>PREDRAČUN: SPECIFIKACIJA PONUDBE S CENAMI ZA ZDRAVILA</t>
  </si>
  <si>
    <t>OBR-2</t>
  </si>
  <si>
    <t>Ponudnik:</t>
  </si>
  <si>
    <t>Naziv:</t>
  </si>
  <si>
    <t>Naslov:</t>
  </si>
  <si>
    <t>Transakcijski račun</t>
  </si>
  <si>
    <t>ID za DDV</t>
  </si>
  <si>
    <t>Naročnik:</t>
  </si>
  <si>
    <t xml:space="preserve"> Naziv: </t>
  </si>
  <si>
    <t>ZDRAVSTVENI DOM ORMOŽ</t>
  </si>
  <si>
    <t xml:space="preserve">Transakcijski račun: </t>
  </si>
  <si>
    <t>01287-6030923093</t>
  </si>
  <si>
    <t xml:space="preserve">ID za DDV:    </t>
  </si>
  <si>
    <t>SPECIFIKACIJA PONUDBE S CENAMI</t>
  </si>
  <si>
    <t>SKLOP ŠT.1: TABLETE</t>
  </si>
  <si>
    <t>zp</t>
  </si>
  <si>
    <t xml:space="preserve">Šifra naročnika </t>
  </si>
  <si>
    <t>Opis artikla</t>
  </si>
  <si>
    <t>EM</t>
  </si>
  <si>
    <t xml:space="preserve">Predvidena letna količina </t>
  </si>
  <si>
    <t>Kataloška številka</t>
  </si>
  <si>
    <t xml:space="preserve">Šifra ponudnika </t>
  </si>
  <si>
    <t xml:space="preserve">Komercialno ime artikla in pakiranje/gramatura </t>
  </si>
  <si>
    <t>Proizvajalec</t>
  </si>
  <si>
    <t xml:space="preserve">Pakiranje </t>
  </si>
  <si>
    <t>Cena za EM brez DDV</t>
  </si>
  <si>
    <t>DDV (%)</t>
  </si>
  <si>
    <t>Cena za EM z DDV</t>
  </si>
  <si>
    <t>Vrednost SKUPAJ brez DDV</t>
  </si>
  <si>
    <t>Vrednost SKUPAJ z DDV</t>
  </si>
  <si>
    <t>ANALGIN 500 MG     A10</t>
  </si>
  <si>
    <t xml:space="preserve">AERIUS 5 MG   A30 </t>
  </si>
  <si>
    <t>ASPIRIN DIREKT 500MG   ŽVEČLJIVE  A10</t>
  </si>
  <si>
    <t>BRILIQUE 90MG  A56 ORODISPERZIBILNE TBL (raztopijo v ustih)</t>
  </si>
  <si>
    <t xml:space="preserve">SC </t>
  </si>
  <si>
    <t>BRILIQUE 90MG   A56</t>
  </si>
  <si>
    <t>CLARITINE 10 MG  A10</t>
  </si>
  <si>
    <t>CLARITINE TBL 10 MG     A30</t>
  </si>
  <si>
    <t>CARBONIS MEDICINALIS  A30</t>
  </si>
  <si>
    <t>EFIENT 10MG   A28</t>
  </si>
  <si>
    <t xml:space="preserve">KAPTOPRIL  12.5 MG   A20 </t>
  </si>
  <si>
    <t xml:space="preserve">KAPTOPRIL 25 MG   A40 </t>
  </si>
  <si>
    <t>LEKADOL 500 MG   A20</t>
  </si>
  <si>
    <t>MEDROL 32 MG   A20</t>
  </si>
  <si>
    <t>MEDROL 16 MG   A50</t>
  </si>
  <si>
    <t>NALGESIN  550 MG     A30</t>
  </si>
  <si>
    <t>SKUPAJ</t>
  </si>
  <si>
    <t>Ponudnik mora oddati ponudbo za celoten sklop</t>
  </si>
  <si>
    <t>Potrebno je omogočiti testiranje vseh nam nepoznanih izdelkov.</t>
  </si>
  <si>
    <t>SKLOP ŠT.2: RAZTOPINE</t>
  </si>
  <si>
    <t>KOM</t>
  </si>
  <si>
    <t>PEROKSID 3% 1000ML</t>
  </si>
  <si>
    <t>PLIVASEPT 1000ML</t>
  </si>
  <si>
    <t>SKLOP ŠT.3: SIRUPI</t>
  </si>
  <si>
    <t>SKLOP ŠT.4: KREME/GELI</t>
  </si>
  <si>
    <t>SKLOP ŠT.5: TEKOČINE</t>
  </si>
  <si>
    <t>AQUA PRO INJ. 10 ML    A20</t>
  </si>
  <si>
    <t>DIAZEPAM RECT TUBES 5MG  A5</t>
  </si>
  <si>
    <t>DIAZEPAM RECT TUBES 10MG  A5</t>
  </si>
  <si>
    <t>FIZIOLOŠKA RAZTOPINA 10ML A20</t>
  </si>
  <si>
    <t xml:space="preserve">FIZIOLOŠKA RAZTOPINA ZA I.V. 100 ML  </t>
  </si>
  <si>
    <t>FIZIOLOŠKA RAZTOPINA ZA I.V. 250 ML</t>
  </si>
  <si>
    <t xml:space="preserve">FIZIOLOŠKA RAZTOPINA ZA  IZPIRANJE 500 ML   </t>
  </si>
  <si>
    <t xml:space="preserve">FIZIOLOŠKA RAZTOPINA ZA  IZPIRANJE 1000 ML </t>
  </si>
  <si>
    <t xml:space="preserve">GLUCOSA 5 % ZA I.V. 250 ML </t>
  </si>
  <si>
    <t>GLUCOSA 10% ZA I.V. 500ML</t>
  </si>
  <si>
    <t>STESOLID RECT 5 MG      A5</t>
  </si>
  <si>
    <t>STESOLID RECT 10 MG   A5</t>
  </si>
  <si>
    <t>SKLOP ŠT.6: SPREJI</t>
  </si>
  <si>
    <t>SKLOP ŠT.7: SVEČKE</t>
  </si>
  <si>
    <t>DULCOLAX 10 MG ODVAJALNE   A6</t>
  </si>
  <si>
    <t>GLICERINSKE SVEČKE ZA ODRASLE  A10</t>
  </si>
  <si>
    <t>GLICERINSKE SVEČKE ZA OTROKE  A10</t>
  </si>
  <si>
    <t>VOLTAREN SUPP 25 MG   A10</t>
  </si>
  <si>
    <t>VOLTAREN SUPP 12.5 MG   A10</t>
  </si>
  <si>
    <t>PARACETAMOL SUPP.   A10</t>
  </si>
  <si>
    <t>SKLOP ŠT.8: AMPULE</t>
  </si>
  <si>
    <t xml:space="preserve">ACTRAPID NOVOLET AMP.    A5  </t>
  </si>
  <si>
    <t>ADENOCOR AMP. 6 MG/2ML     A6</t>
  </si>
  <si>
    <t>ADENOSIN ALTA 3MG/ML    A6</t>
  </si>
  <si>
    <t>AMINOPHYLLINE 250MG/10 ML  A10</t>
  </si>
  <si>
    <t>ANALGIN 500MG/ML    A50</t>
  </si>
  <si>
    <t>ANEXATE AMP 0.5 MG   A5</t>
  </si>
  <si>
    <t>APAURIN 10 MG/2 ML   A10</t>
  </si>
  <si>
    <t>ASPEGIC AMP. 500 MG   A20</t>
  </si>
  <si>
    <t>ATROPIN SULFAS AMP 0,5 MG  A5</t>
  </si>
  <si>
    <t>B12DEPOT 1MG/ML      A10</t>
  </si>
  <si>
    <t>CORDARONE 150 MG/3 ML   A6</t>
  </si>
  <si>
    <t>CLEMASTINUM 2MG/2ML A5</t>
  </si>
  <si>
    <t>CYKLOKAPRON 500MG/5ML   A5</t>
  </si>
  <si>
    <t>DEXAMETHASON 4MG/1 ML  A25</t>
  </si>
  <si>
    <t>DOPAMIN 5 ML/50 MG   A10</t>
  </si>
  <si>
    <t xml:space="preserve">DORMICUM 5MG/5ML A10    </t>
  </si>
  <si>
    <t xml:space="preserve">DORMICUM  25MG/5ML A5   </t>
  </si>
  <si>
    <t>EBRANTIL 25 MG/5ML  A5</t>
  </si>
  <si>
    <t>EDEMID 2 ML/20MG    A5</t>
  </si>
  <si>
    <t>ESMERON 10MG/ML 5ML   A10</t>
  </si>
  <si>
    <t>ETOMIDATE LIPURO 20MG  A10</t>
  </si>
  <si>
    <t>FLOSTERON 1 ML KK   A5</t>
  </si>
  <si>
    <t>HALDOL DEPO 50MG/1ML      A5</t>
  </si>
  <si>
    <t>BUSCOPAN 20MG/ML   A5</t>
  </si>
  <si>
    <t>KENALOG 40 1 ML   A5</t>
  </si>
  <si>
    <t>KETANEST 25MG/ML    A10</t>
  </si>
  <si>
    <t>KETANEST 5MG/1ML     A10</t>
  </si>
  <si>
    <t>KETONAL AMP 2 ML  A10</t>
  </si>
  <si>
    <t>KONAKION MM 10MG/1 ML  A5</t>
  </si>
  <si>
    <t>LYSTHENON 2% 5 ML   A5    SKUPAJ PAKIRAN ZAVOJ A20SC</t>
  </si>
  <si>
    <t>ZAVOJ</t>
  </si>
  <si>
    <t>MIDAZOLAM 5MG/ML 10ML    A5</t>
  </si>
  <si>
    <t>MIDAZOLAM 1MG/ML  5ML  A10</t>
  </si>
  <si>
    <t>NAKLOFEN 75 MG/3ML   A5</t>
  </si>
  <si>
    <t>NEXODAL 0,4 MG/1ML     A5</t>
  </si>
  <si>
    <t>PROPOVEN 10ML/ML    A10</t>
  </si>
  <si>
    <t xml:space="preserve">RANITAL 50 MG/2 ML  A5  </t>
  </si>
  <si>
    <t>REGLAN 10 MG/2MG    A30</t>
  </si>
  <si>
    <t>SOLUMEDROL 1000MG PRAŠEK IN VEHIKEL ZA RAZTOPINO</t>
  </si>
  <si>
    <t>SOLUCORTEF 500MG PRAŠEK IN VEHIKEL ZA RAZTOPINO</t>
  </si>
  <si>
    <t>SPASMEX 0.2 MG/5ML   A10</t>
  </si>
  <si>
    <t>SUPRARENIN  1MG/1ML  A5</t>
  </si>
  <si>
    <t>TAVEGYL 2 ML    A5</t>
  </si>
  <si>
    <t>TORECAN AMP 6.5 MG 1 ML   A50</t>
  </si>
  <si>
    <t>TRAMAL 100 MG/2ML    A5</t>
  </si>
  <si>
    <t>TRAMAL 50 MG/1ML    A5</t>
  </si>
  <si>
    <t>VENOFER INJ. I.V. 100 MG   A5</t>
  </si>
  <si>
    <t>VITAMIN B12 AMP 100 GAMA  A10</t>
  </si>
  <si>
    <t>XYLOCAIN AMP 1% 20 ML   A5</t>
  </si>
  <si>
    <t>XYLOCAIN AMP 2% 20 ML  A5</t>
  </si>
  <si>
    <t>SKLOP ŠT.9: KAPLJICE</t>
  </si>
  <si>
    <t>MAXITROL 1MG GTT  5ML</t>
  </si>
  <si>
    <t>TOBREX GTT    3MG/ML  5ML</t>
  </si>
  <si>
    <t>SKLOP ŠT. 10: PRAH</t>
  </si>
  <si>
    <t>AMOKSIKLAV 1000/200 MG RZT INJ  A5</t>
  </si>
  <si>
    <t>CEFTRIAKSON 2G PRAŠ. INJ A5</t>
  </si>
  <si>
    <t>CEFTRIAKSON 1G PRAG.INJ/INF A5</t>
  </si>
  <si>
    <t>NOLPAZA 40MG PRAŠ INJ A10</t>
  </si>
  <si>
    <t>SKLOP ŠT. 11: TESTI/ALERGENI</t>
  </si>
  <si>
    <t>ALERGEN TEST 314 A 1000ML  D.FARINAE</t>
  </si>
  <si>
    <t>ALERGEN TEST 315 A 1000ML D.PTERONYSSINUS</t>
  </si>
  <si>
    <t>ALERGEN TEST 414 A 1000ML  CLADOSPORIUM</t>
  </si>
  <si>
    <t>ALERGEN TEST 403 A 1000ML CANDIDA</t>
  </si>
  <si>
    <t>ALERGEN TEST 507 A 1000ML MAČKA</t>
  </si>
  <si>
    <t>ALERGEN TEST 509 A 1000ML  PES</t>
  </si>
  <si>
    <t>ALERGEN TEST 614 A 1000ML NAVADNI PELIN</t>
  </si>
  <si>
    <t>ALERGEN TEST 688 A 1000ML OLJKA</t>
  </si>
  <si>
    <t>ALERGEN TEST 635 A 1000ML  PŠENICA</t>
  </si>
  <si>
    <t>ALERGEN TEST 615 A 1000ML AMBROZIA</t>
  </si>
  <si>
    <t>ALERGEN TEST 649 A 1000ML  LESKA</t>
  </si>
  <si>
    <t>ALERGEN TEST 619 A 1000ML  5 TRAV</t>
  </si>
  <si>
    <t>SKLOP ŠT. 12: ZOBOZDRAVSTVO</t>
  </si>
  <si>
    <t>SCANDONEST 20 mg/0,01 mg v 1 ml razt.za inj. vložek 1,8 ml 50x</t>
  </si>
  <si>
    <t>SC</t>
  </si>
  <si>
    <t>SCANDICAINE 30 mg/ml razt.za inj. vložek 1,7 ml 50x</t>
  </si>
  <si>
    <t>SEPTANESTEPI 40 mg/0,005 mg v 1 ml raztopina za injiciranje A50</t>
  </si>
  <si>
    <t>SEPTANESTEPI 40 mg/0,01 mg v 1 ml raztopina za injiciranje A50</t>
  </si>
  <si>
    <t>ULTRACAIN D-S 40 mg/0,006 mg v 1 ml razt.za inj. 2 ml ampula 6x</t>
  </si>
  <si>
    <t>TOXAVIT dentalna pasta 2 g</t>
  </si>
  <si>
    <t>KOS</t>
  </si>
  <si>
    <t>UBISTESIN FORTE 40 mg/0,012 mg v 1 ml razt.za inj. vložek 1,7 ml 50x</t>
  </si>
  <si>
    <t>HISTOLITH NaOCI 3 %</t>
  </si>
  <si>
    <t>SKUPNA VREDNOST CELOTNE PONUDBE</t>
  </si>
  <si>
    <t xml:space="preserve">     NAVODILA: Ponudniki vpišejo v:</t>
  </si>
  <si>
    <t xml:space="preserve"> od stolpca 6 do stoplpca 10</t>
  </si>
  <si>
    <t>zahtevane podatke</t>
  </si>
  <si>
    <t xml:space="preserve"> - stolpec 11 - cena na EM brez DDV v EUR</t>
  </si>
  <si>
    <t>cena na EM brez DDV v EUR</t>
  </si>
  <si>
    <t xml:space="preserve"> - stolpec 12 - DDV v %</t>
  </si>
  <si>
    <t>DDV v %</t>
  </si>
  <si>
    <t xml:space="preserve"> - stolpec 13 - cena na EM z DDV v EUR </t>
  </si>
  <si>
    <t>stolpec 11 + (stolpec 12 x stolpec 11 / 100)</t>
  </si>
  <si>
    <t xml:space="preserve"> - stolpec 14 - skupaj vrednost za količino v EUR brez DDV</t>
  </si>
  <si>
    <t>stoplpec 11 x stolpec 5</t>
  </si>
  <si>
    <t xml:space="preserve"> - stolpec 15 - skupaj vrednost za količino v EUR z DDV</t>
  </si>
  <si>
    <t>stolpec 13 x stolpec 5</t>
  </si>
  <si>
    <t xml:space="preserve">Za pravilnost formul izračuna vrednosti posameznih postavk v tabeli je odgovoren ponudnik sam. </t>
  </si>
  <si>
    <t>kraj:</t>
  </si>
  <si>
    <t xml:space="preserve"> podpis odgovorne osebe: </t>
  </si>
  <si>
    <t>datum:</t>
  </si>
  <si>
    <r>
      <t xml:space="preserve">CLARITINE </t>
    </r>
    <r>
      <rPr>
        <sz val="11"/>
        <color rgb="FF000000"/>
        <rFont val="Calibri"/>
        <family val="2"/>
        <charset val="238"/>
      </rPr>
      <t>10 MG S  A30</t>
    </r>
  </si>
  <si>
    <t>HEPARIN BRAUN 5000 i.e./ml  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</si>
</sst>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20"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 MT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67171"/>
        <bgColor rgb="FF666699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Border="0" applyProtection="0">
      <alignment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 applyBorder="0" applyProtection="0">
      <alignment vertical="top" wrapText="1"/>
    </xf>
    <xf numFmtId="0" fontId="5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4" fillId="0" borderId="0"/>
    <xf numFmtId="0" fontId="4" fillId="0" borderId="0"/>
  </cellStyleXfs>
  <cellXfs count="124"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/>
    <xf numFmtId="0" fontId="8" fillId="0" borderId="3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/>
    <xf numFmtId="0" fontId="11" fillId="0" borderId="0" xfId="0" applyFont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horizontal="center" wrapText="1"/>
    </xf>
    <xf numFmtId="3" fontId="15" fillId="2" borderId="7" xfId="0" applyNumberFormat="1" applyFont="1" applyFill="1" applyBorder="1" applyAlignment="1">
      <alignment horizontal="center" wrapText="1"/>
    </xf>
    <xf numFmtId="164" fontId="15" fillId="2" borderId="7" xfId="0" applyNumberFormat="1" applyFont="1" applyFill="1" applyBorder="1" applyAlignment="1">
      <alignment horizontal="center" wrapText="1"/>
    </xf>
    <xf numFmtId="3" fontId="15" fillId="2" borderId="8" xfId="0" applyNumberFormat="1" applyFont="1" applyFill="1" applyBorder="1" applyAlignment="1">
      <alignment horizontal="center" wrapText="1"/>
    </xf>
    <xf numFmtId="1" fontId="15" fillId="2" borderId="9" xfId="0" applyNumberFormat="1" applyFont="1" applyFill="1" applyBorder="1" applyAlignment="1">
      <alignment horizontal="center" wrapText="1"/>
    </xf>
    <xf numFmtId="1" fontId="15" fillId="2" borderId="10" xfId="0" applyNumberFormat="1" applyFont="1" applyFill="1" applyBorder="1" applyAlignment="1">
      <alignment horizontal="center" wrapText="1"/>
    </xf>
    <xf numFmtId="1" fontId="14" fillId="2" borderId="10" xfId="0" applyNumberFormat="1" applyFont="1" applyFill="1" applyBorder="1" applyAlignment="1">
      <alignment horizontal="center" wrapText="1"/>
    </xf>
    <xf numFmtId="1" fontId="15" fillId="2" borderId="11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6" xfId="0" applyBorder="1"/>
    <xf numFmtId="0" fontId="0" fillId="0" borderId="7" xfId="0" applyFont="1" applyBorder="1"/>
    <xf numFmtId="1" fontId="14" fillId="0" borderId="7" xfId="15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165" fontId="14" fillId="0" borderId="7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4" xfId="0" applyBorder="1"/>
    <xf numFmtId="0" fontId="0" fillId="0" borderId="15" xfId="0" applyFont="1" applyBorder="1"/>
    <xf numFmtId="1" fontId="14" fillId="0" borderId="15" xfId="15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165" fontId="14" fillId="0" borderId="15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0" fillId="0" borderId="15" xfId="0" applyFont="1" applyBorder="1"/>
    <xf numFmtId="3" fontId="15" fillId="0" borderId="15" xfId="0" applyNumberFormat="1" applyFont="1" applyBorder="1" applyAlignment="1">
      <alignment horizontal="center" wrapText="1"/>
    </xf>
    <xf numFmtId="1" fontId="14" fillId="0" borderId="15" xfId="0" applyNumberFormat="1" applyFont="1" applyBorder="1" applyAlignment="1">
      <alignment horizontal="center" wrapText="1"/>
    </xf>
    <xf numFmtId="2" fontId="14" fillId="0" borderId="15" xfId="0" applyNumberFormat="1" applyFont="1" applyBorder="1" applyAlignment="1">
      <alignment horizontal="center" wrapText="1"/>
    </xf>
    <xf numFmtId="0" fontId="0" fillId="3" borderId="15" xfId="0" applyFill="1" applyBorder="1"/>
    <xf numFmtId="0" fontId="0" fillId="0" borderId="0" xfId="0" applyFont="1"/>
    <xf numFmtId="0" fontId="14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19" xfId="0" applyFont="1" applyBorder="1"/>
    <xf numFmtId="3" fontId="15" fillId="0" borderId="19" xfId="0" applyNumberFormat="1" applyFont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165" fontId="14" fillId="0" borderId="19" xfId="0" applyNumberFormat="1" applyFont="1" applyBorder="1" applyAlignment="1">
      <alignment horizontal="center" wrapText="1"/>
    </xf>
    <xf numFmtId="4" fontId="14" fillId="0" borderId="19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 wrapText="1"/>
    </xf>
    <xf numFmtId="4" fontId="14" fillId="0" borderId="20" xfId="0" applyNumberFormat="1" applyFont="1" applyBorder="1" applyAlignment="1">
      <alignment horizontal="center" wrapText="1"/>
    </xf>
    <xf numFmtId="4" fontId="10" fillId="0" borderId="22" xfId="0" applyNumberFormat="1" applyFont="1" applyBorder="1"/>
    <xf numFmtId="4" fontId="10" fillId="0" borderId="23" xfId="0" applyNumberFormat="1" applyFont="1" applyBorder="1"/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1" fontId="14" fillId="0" borderId="19" xfId="0" applyNumberFormat="1" applyFont="1" applyBorder="1" applyAlignment="1">
      <alignment horizontal="center" wrapText="1"/>
    </xf>
    <xf numFmtId="2" fontId="14" fillId="0" borderId="19" xfId="0" applyNumberFormat="1" applyFont="1" applyBorder="1" applyAlignment="1">
      <alignment horizontal="center" wrapText="1"/>
    </xf>
    <xf numFmtId="1" fontId="14" fillId="0" borderId="19" xfId="15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/>
    <xf numFmtId="0" fontId="14" fillId="0" borderId="19" xfId="0" applyFont="1" applyBorder="1" applyAlignment="1">
      <alignment wrapText="1"/>
    </xf>
    <xf numFmtId="0" fontId="0" fillId="3" borderId="7" xfId="0" applyFill="1" applyBorder="1"/>
    <xf numFmtId="1" fontId="14" fillId="0" borderId="15" xfId="15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0" fillId="0" borderId="0" xfId="0"/>
    <xf numFmtId="0" fontId="0" fillId="3" borderId="19" xfId="0" applyFill="1" applyBorder="1"/>
    <xf numFmtId="49" fontId="0" fillId="0" borderId="7" xfId="0" applyNumberFormat="1" applyBorder="1"/>
    <xf numFmtId="0" fontId="18" fillId="0" borderId="7" xfId="0" applyFont="1" applyBorder="1"/>
    <xf numFmtId="49" fontId="0" fillId="0" borderId="15" xfId="0" applyNumberFormat="1" applyBorder="1"/>
    <xf numFmtId="0" fontId="18" fillId="0" borderId="15" xfId="0" applyFont="1" applyBorder="1"/>
    <xf numFmtId="49" fontId="0" fillId="0" borderId="19" xfId="0" applyNumberFormat="1" applyBorder="1"/>
    <xf numFmtId="0" fontId="18" fillId="0" borderId="19" xfId="0" applyFont="1" applyBorder="1"/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/>
    <xf numFmtId="165" fontId="14" fillId="0" borderId="0" xfId="0" applyNumberFormat="1" applyFont="1"/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left"/>
    </xf>
    <xf numFmtId="3" fontId="14" fillId="0" borderId="0" xfId="2" applyNumberFormat="1" applyFont="1"/>
    <xf numFmtId="0" fontId="14" fillId="0" borderId="0" xfId="2" applyFont="1"/>
    <xf numFmtId="0" fontId="14" fillId="0" borderId="14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18" xfId="2" applyFont="1" applyBorder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165" fontId="0" fillId="0" borderId="0" xfId="0" applyNumberFormat="1"/>
    <xf numFmtId="0" fontId="14" fillId="0" borderId="4" xfId="2" applyFont="1" applyBorder="1"/>
    <xf numFmtId="0" fontId="14" fillId="0" borderId="5" xfId="2" applyFont="1" applyBorder="1"/>
    <xf numFmtId="0" fontId="14" fillId="0" borderId="0" xfId="2" applyFont="1" applyAlignment="1">
      <alignment horizontal="center"/>
    </xf>
    <xf numFmtId="0" fontId="14" fillId="0" borderId="25" xfId="2" applyFont="1" applyBorder="1"/>
    <xf numFmtId="0" fontId="0" fillId="0" borderId="0" xfId="0" applyFill="1"/>
    <xf numFmtId="0" fontId="0" fillId="0" borderId="0" xfId="0" applyFont="1" applyFill="1"/>
    <xf numFmtId="0" fontId="14" fillId="0" borderId="16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4" fillId="0" borderId="6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0" fillId="0" borderId="21" xfId="0" applyFont="1" applyBorder="1" applyAlignment="1">
      <alignment horizontal="right"/>
    </xf>
    <xf numFmtId="0" fontId="17" fillId="2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/>
    </xf>
  </cellXfs>
  <cellStyles count="26">
    <cellStyle name="Navadno" xfId="0" builtinId="0"/>
    <cellStyle name="Navadno 14 9" xfId="1" xr:uid="{00000000-0005-0000-0000-000006000000}"/>
    <cellStyle name="Navadno 2" xfId="2" xr:uid="{00000000-0005-0000-0000-000007000000}"/>
    <cellStyle name="Navadno 2 16" xfId="3" xr:uid="{00000000-0005-0000-0000-000008000000}"/>
    <cellStyle name="Normal 10 4" xfId="4" xr:uid="{00000000-0005-0000-0000-000009000000}"/>
    <cellStyle name="Normal 10 7" xfId="5" xr:uid="{00000000-0005-0000-0000-00000A000000}"/>
    <cellStyle name="Normal 10 8" xfId="6" xr:uid="{00000000-0005-0000-0000-00000B000000}"/>
    <cellStyle name="Normal 11" xfId="7" xr:uid="{00000000-0005-0000-0000-00000C000000}"/>
    <cellStyle name="Normal 11 4" xfId="8" xr:uid="{00000000-0005-0000-0000-00000D000000}"/>
    <cellStyle name="Normal 13" xfId="9" xr:uid="{00000000-0005-0000-0000-00000E000000}"/>
    <cellStyle name="Normal 14" xfId="10" xr:uid="{00000000-0005-0000-0000-00000F000000}"/>
    <cellStyle name="Normal 17" xfId="11" xr:uid="{00000000-0005-0000-0000-000010000000}"/>
    <cellStyle name="Normal 18" xfId="12" xr:uid="{00000000-0005-0000-0000-000011000000}"/>
    <cellStyle name="Normal 19" xfId="13" xr:uid="{00000000-0005-0000-0000-000012000000}"/>
    <cellStyle name="Normal 2" xfId="14" xr:uid="{00000000-0005-0000-0000-000013000000}"/>
    <cellStyle name="Normal 3" xfId="15" xr:uid="{00000000-0005-0000-0000-000014000000}"/>
    <cellStyle name="Normal 3 2 3" xfId="16" xr:uid="{00000000-0005-0000-0000-000015000000}"/>
    <cellStyle name="Normal 3 3" xfId="17" xr:uid="{00000000-0005-0000-0000-000016000000}"/>
    <cellStyle name="Normal 4 2" xfId="18" xr:uid="{00000000-0005-0000-0000-000017000000}"/>
    <cellStyle name="Normal 4 5" xfId="19" xr:uid="{00000000-0005-0000-0000-000018000000}"/>
    <cellStyle name="Normal 5" xfId="20" xr:uid="{00000000-0005-0000-0000-000019000000}"/>
    <cellStyle name="Normal 6" xfId="21" xr:uid="{00000000-0005-0000-0000-00001A000000}"/>
    <cellStyle name="Normal 9" xfId="22" xr:uid="{00000000-0005-0000-0000-00001B000000}"/>
    <cellStyle name="Normal_Sheet1" xfId="23" xr:uid="{00000000-0005-0000-0000-00001C000000}"/>
    <cellStyle name="TableStyleLight1" xfId="24" xr:uid="{00000000-0005-0000-0000-00001D000000}"/>
    <cellStyle name="TableStyleLight1 2" xfId="25" xr:uid="{00000000-0005-0000-0000-00001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4"/>
  <sheetViews>
    <sheetView tabSelected="1" topLeftCell="A304" zoomScale="80" zoomScaleNormal="80" workbookViewId="0">
      <selection activeCell="R9" sqref="R9"/>
    </sheetView>
  </sheetViews>
  <sheetFormatPr defaultRowHeight="15"/>
  <cols>
    <col min="1" max="1" width="5.5703125" customWidth="1"/>
    <col min="2" max="2" width="17.28515625" customWidth="1"/>
    <col min="3" max="3" width="62.5703125" customWidth="1"/>
    <col min="4" max="4" width="8.7109375" customWidth="1"/>
    <col min="5" max="5" width="13.5703125" bestFit="1" customWidth="1"/>
    <col min="6" max="1025" width="8.710937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</row>
    <row r="2" spans="1:15" ht="15.75">
      <c r="A2" s="5" t="s">
        <v>2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8" t="s">
        <v>3</v>
      </c>
      <c r="B3" s="9"/>
      <c r="C3" s="8"/>
      <c r="D3" s="6" t="s">
        <v>4</v>
      </c>
      <c r="E3" s="9"/>
      <c r="F3" s="9"/>
      <c r="G3" s="9"/>
      <c r="H3" s="9"/>
      <c r="I3" s="6"/>
      <c r="J3" s="6"/>
      <c r="K3" s="6"/>
      <c r="L3" s="6"/>
      <c r="M3" s="6"/>
      <c r="N3" s="6"/>
      <c r="O3" s="6"/>
    </row>
    <row r="4" spans="1:15" ht="15.75">
      <c r="A4" s="10" t="s">
        <v>5</v>
      </c>
      <c r="B4" s="9"/>
      <c r="C4" s="8"/>
      <c r="D4" s="6" t="s">
        <v>6</v>
      </c>
      <c r="E4" s="11"/>
      <c r="F4" s="11"/>
      <c r="G4" s="11"/>
      <c r="H4" s="11"/>
      <c r="I4" s="6"/>
      <c r="J4" s="6"/>
      <c r="K4" s="6"/>
      <c r="L4" s="6"/>
      <c r="M4" s="6"/>
      <c r="N4" s="6"/>
      <c r="O4" s="6"/>
    </row>
    <row r="5" spans="1:15" ht="15.75">
      <c r="A5" s="12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5" t="s">
        <v>7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8" t="s">
        <v>8</v>
      </c>
      <c r="B7" s="13" t="s">
        <v>9</v>
      </c>
      <c r="C7" s="14"/>
      <c r="D7" s="6" t="s">
        <v>4</v>
      </c>
      <c r="E7" s="13"/>
      <c r="F7" s="13"/>
      <c r="G7" s="9"/>
      <c r="H7" s="9"/>
      <c r="I7" s="6"/>
      <c r="J7" s="6"/>
      <c r="K7" s="6"/>
      <c r="L7" s="6"/>
      <c r="M7" s="6"/>
      <c r="N7" s="6"/>
      <c r="O7" s="6"/>
    </row>
    <row r="8" spans="1:15" ht="15.75">
      <c r="A8" s="15" t="s">
        <v>10</v>
      </c>
      <c r="B8" s="11"/>
      <c r="C8" s="16" t="s">
        <v>11</v>
      </c>
      <c r="D8" s="6" t="s">
        <v>12</v>
      </c>
      <c r="E8" s="123">
        <v>93436173</v>
      </c>
      <c r="F8" s="123"/>
      <c r="G8" s="11"/>
      <c r="H8" s="11"/>
      <c r="I8" s="6"/>
      <c r="J8" s="6"/>
      <c r="K8" s="6"/>
      <c r="L8" s="6"/>
      <c r="M8" s="6"/>
      <c r="N8" s="6"/>
      <c r="O8" s="6"/>
    </row>
    <row r="9" spans="1:15">
      <c r="A9" s="17"/>
      <c r="B9" s="18"/>
      <c r="C9" s="19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  <c r="O9" s="18"/>
    </row>
    <row r="10" spans="1:15" ht="15.75">
      <c r="A10" s="122" t="s">
        <v>13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20"/>
    </row>
    <row r="11" spans="1:15">
      <c r="A11" s="18"/>
      <c r="B11" s="18"/>
      <c r="C11" s="21"/>
      <c r="D11" s="18"/>
      <c r="E11" s="22"/>
      <c r="F11" s="22"/>
      <c r="G11" s="22"/>
      <c r="H11" s="23"/>
      <c r="I11" s="18"/>
      <c r="J11" s="18"/>
      <c r="K11" s="18"/>
      <c r="L11" s="23"/>
      <c r="M11" s="18"/>
      <c r="N11" s="18"/>
      <c r="O11" s="18"/>
    </row>
    <row r="12" spans="1:15" ht="20.25">
      <c r="A12" s="121" t="s">
        <v>14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64.5">
      <c r="A13" s="24" t="s">
        <v>15</v>
      </c>
      <c r="B13" s="25" t="s">
        <v>16</v>
      </c>
      <c r="C13" s="25" t="s">
        <v>17</v>
      </c>
      <c r="D13" s="25" t="s">
        <v>18</v>
      </c>
      <c r="E13" s="26" t="s">
        <v>19</v>
      </c>
      <c r="F13" s="27" t="s">
        <v>20</v>
      </c>
      <c r="G13" s="27" t="s">
        <v>21</v>
      </c>
      <c r="H13" s="27" t="s">
        <v>22</v>
      </c>
      <c r="I13" s="27" t="s">
        <v>23</v>
      </c>
      <c r="J13" s="25" t="s">
        <v>24</v>
      </c>
      <c r="K13" s="28" t="s">
        <v>25</v>
      </c>
      <c r="L13" s="25" t="s">
        <v>26</v>
      </c>
      <c r="M13" s="28" t="s">
        <v>27</v>
      </c>
      <c r="N13" s="27" t="s">
        <v>28</v>
      </c>
      <c r="O13" s="29" t="s">
        <v>29</v>
      </c>
    </row>
    <row r="14" spans="1:15">
      <c r="A14" s="30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3">
        <v>15</v>
      </c>
    </row>
    <row r="15" spans="1:15">
      <c r="A15" s="34">
        <v>1</v>
      </c>
      <c r="B15" s="35" t="str">
        <f>"0100000102"</f>
        <v>0100000102</v>
      </c>
      <c r="C15" s="36" t="s">
        <v>30</v>
      </c>
      <c r="D15" s="36" t="str">
        <f>"SC "</f>
        <v xml:space="preserve">SC </v>
      </c>
      <c r="E15" s="36">
        <v>23</v>
      </c>
      <c r="F15" s="37"/>
      <c r="G15" s="37"/>
      <c r="H15" s="38"/>
      <c r="I15" s="38"/>
      <c r="J15" s="39"/>
      <c r="K15" s="40">
        <v>0</v>
      </c>
      <c r="L15" s="41">
        <v>0</v>
      </c>
      <c r="M15" s="40">
        <f t="shared" ref="M15:M30" si="0">+K15+L15*K15/100</f>
        <v>0</v>
      </c>
      <c r="N15" s="42">
        <f t="shared" ref="N15:N30" si="1">+K15*E15</f>
        <v>0</v>
      </c>
      <c r="O15" s="43">
        <f t="shared" ref="O15:O30" si="2">+M15*E15</f>
        <v>0</v>
      </c>
    </row>
    <row r="16" spans="1:15">
      <c r="A16" s="44">
        <v>2</v>
      </c>
      <c r="B16" s="45" t="str">
        <f>"0200000150"</f>
        <v>0200000150</v>
      </c>
      <c r="C16" s="46" t="s">
        <v>31</v>
      </c>
      <c r="D16" s="46" t="str">
        <f>"SC "</f>
        <v xml:space="preserve">SC </v>
      </c>
      <c r="E16" s="46">
        <v>3</v>
      </c>
      <c r="F16" s="47"/>
      <c r="G16" s="47"/>
      <c r="H16" s="48"/>
      <c r="I16" s="48"/>
      <c r="J16" s="49"/>
      <c r="K16" s="50">
        <v>0</v>
      </c>
      <c r="L16" s="51">
        <v>0</v>
      </c>
      <c r="M16" s="50">
        <f t="shared" si="0"/>
        <v>0</v>
      </c>
      <c r="N16" s="52">
        <f t="shared" si="1"/>
        <v>0</v>
      </c>
      <c r="O16" s="53">
        <f t="shared" si="2"/>
        <v>0</v>
      </c>
    </row>
    <row r="17" spans="1:19">
      <c r="A17" s="44">
        <v>3</v>
      </c>
      <c r="B17" s="45" t="str">
        <f>"0100000002"</f>
        <v>0100000002</v>
      </c>
      <c r="C17" s="46" t="s">
        <v>32</v>
      </c>
      <c r="D17" s="46" t="str">
        <f>"SC "</f>
        <v xml:space="preserve">SC </v>
      </c>
      <c r="E17" s="46">
        <v>9</v>
      </c>
      <c r="F17" s="47"/>
      <c r="G17" s="47"/>
      <c r="H17" s="48"/>
      <c r="I17" s="48"/>
      <c r="J17" s="49"/>
      <c r="K17" s="50">
        <v>0</v>
      </c>
      <c r="L17" s="51">
        <v>0</v>
      </c>
      <c r="M17" s="50">
        <f t="shared" si="0"/>
        <v>0</v>
      </c>
      <c r="N17" s="52">
        <f t="shared" si="1"/>
        <v>0</v>
      </c>
      <c r="O17" s="53">
        <f t="shared" si="2"/>
        <v>0</v>
      </c>
    </row>
    <row r="18" spans="1:19">
      <c r="A18" s="44">
        <v>4</v>
      </c>
      <c r="B18" s="45"/>
      <c r="C18" s="46" t="s">
        <v>33</v>
      </c>
      <c r="D18" s="46" t="s">
        <v>34</v>
      </c>
      <c r="E18" s="46">
        <v>3</v>
      </c>
      <c r="F18" s="47"/>
      <c r="G18" s="47"/>
      <c r="H18" s="48"/>
      <c r="I18" s="48"/>
      <c r="J18" s="49"/>
      <c r="K18" s="50">
        <v>0</v>
      </c>
      <c r="L18" s="51">
        <v>0</v>
      </c>
      <c r="M18" s="50">
        <f t="shared" si="0"/>
        <v>0</v>
      </c>
      <c r="N18" s="52">
        <f t="shared" si="1"/>
        <v>0</v>
      </c>
      <c r="O18" s="53">
        <f t="shared" si="2"/>
        <v>0</v>
      </c>
    </row>
    <row r="19" spans="1:19">
      <c r="A19" s="44">
        <v>5</v>
      </c>
      <c r="B19" s="45" t="str">
        <f>"0200000154"</f>
        <v>0200000154</v>
      </c>
      <c r="C19" s="46" t="s">
        <v>35</v>
      </c>
      <c r="D19" s="46" t="s">
        <v>34</v>
      </c>
      <c r="E19" s="46">
        <v>3</v>
      </c>
      <c r="F19" s="47"/>
      <c r="G19" s="47"/>
      <c r="H19" s="48"/>
      <c r="I19" s="48"/>
      <c r="J19" s="49"/>
      <c r="K19" s="50">
        <v>0</v>
      </c>
      <c r="L19" s="51">
        <v>0</v>
      </c>
      <c r="M19" s="50">
        <f t="shared" si="0"/>
        <v>0</v>
      </c>
      <c r="N19" s="52">
        <f t="shared" si="1"/>
        <v>0</v>
      </c>
      <c r="O19" s="53">
        <f t="shared" si="2"/>
        <v>0</v>
      </c>
    </row>
    <row r="20" spans="1:19">
      <c r="A20" s="44">
        <v>6</v>
      </c>
      <c r="B20" s="45" t="str">
        <f>"0100000015"</f>
        <v>0100000015</v>
      </c>
      <c r="C20" s="46" t="s">
        <v>36</v>
      </c>
      <c r="D20" s="46" t="str">
        <f>"SC "</f>
        <v xml:space="preserve">SC </v>
      </c>
      <c r="E20" s="46">
        <v>7</v>
      </c>
      <c r="F20" s="47"/>
      <c r="G20" s="47"/>
      <c r="H20" s="48"/>
      <c r="I20" s="48"/>
      <c r="J20" s="49"/>
      <c r="K20" s="50">
        <v>0</v>
      </c>
      <c r="L20" s="51">
        <v>0</v>
      </c>
      <c r="M20" s="50">
        <f t="shared" si="0"/>
        <v>0</v>
      </c>
      <c r="N20" s="52">
        <f t="shared" si="1"/>
        <v>0</v>
      </c>
      <c r="O20" s="53">
        <f t="shared" si="2"/>
        <v>0</v>
      </c>
    </row>
    <row r="21" spans="1:19">
      <c r="A21" s="44">
        <v>7</v>
      </c>
      <c r="B21" s="45" t="str">
        <f>"0100000104"</f>
        <v>0100000104</v>
      </c>
      <c r="C21" s="46" t="s">
        <v>37</v>
      </c>
      <c r="D21" s="46" t="s">
        <v>34</v>
      </c>
      <c r="E21" s="46">
        <v>17</v>
      </c>
      <c r="F21" s="47"/>
      <c r="G21" s="47"/>
      <c r="H21" s="54"/>
      <c r="I21" s="48"/>
      <c r="J21" s="49"/>
      <c r="K21" s="50">
        <v>0</v>
      </c>
      <c r="L21" s="51">
        <v>0</v>
      </c>
      <c r="M21" s="50">
        <f t="shared" si="0"/>
        <v>0</v>
      </c>
      <c r="N21" s="52">
        <f t="shared" si="1"/>
        <v>0</v>
      </c>
      <c r="O21" s="53">
        <f t="shared" si="2"/>
        <v>0</v>
      </c>
    </row>
    <row r="22" spans="1:19">
      <c r="A22" s="44">
        <v>8</v>
      </c>
      <c r="B22" s="45" t="str">
        <f>"0100000210"</f>
        <v>0100000210</v>
      </c>
      <c r="C22" s="46" t="s">
        <v>38</v>
      </c>
      <c r="D22" s="46" t="s">
        <v>34</v>
      </c>
      <c r="E22" s="46">
        <v>2</v>
      </c>
      <c r="F22" s="47"/>
      <c r="G22" s="47"/>
      <c r="H22" s="48"/>
      <c r="I22" s="48"/>
      <c r="J22" s="49"/>
      <c r="K22" s="50">
        <v>0</v>
      </c>
      <c r="L22" s="51">
        <v>0</v>
      </c>
      <c r="M22" s="50">
        <f t="shared" si="0"/>
        <v>0</v>
      </c>
      <c r="N22" s="52">
        <f t="shared" si="1"/>
        <v>0</v>
      </c>
      <c r="O22" s="53">
        <f t="shared" si="2"/>
        <v>0</v>
      </c>
      <c r="R22" s="112"/>
      <c r="S22" s="112"/>
    </row>
    <row r="23" spans="1:19">
      <c r="A23" s="44">
        <v>9</v>
      </c>
      <c r="B23" s="45" t="str">
        <f>"0100000016"</f>
        <v>0100000016</v>
      </c>
      <c r="C23" s="55" t="s">
        <v>177</v>
      </c>
      <c r="D23" s="46" t="str">
        <f>"SC "</f>
        <v xml:space="preserve">SC </v>
      </c>
      <c r="E23" s="46">
        <v>3</v>
      </c>
      <c r="F23" s="56"/>
      <c r="G23" s="56"/>
      <c r="H23" s="49"/>
      <c r="I23" s="48"/>
      <c r="J23" s="49"/>
      <c r="K23" s="50">
        <v>0</v>
      </c>
      <c r="L23" s="51">
        <v>0</v>
      </c>
      <c r="M23" s="50">
        <f t="shared" si="0"/>
        <v>0</v>
      </c>
      <c r="N23" s="52">
        <f t="shared" si="1"/>
        <v>0</v>
      </c>
      <c r="O23" s="53">
        <f t="shared" si="2"/>
        <v>0</v>
      </c>
      <c r="R23" s="113"/>
      <c r="S23" s="113"/>
    </row>
    <row r="24" spans="1:19">
      <c r="A24" s="44">
        <v>10</v>
      </c>
      <c r="B24" s="45" t="str">
        <f>"0200000153"</f>
        <v>0200000153</v>
      </c>
      <c r="C24" s="46" t="s">
        <v>39</v>
      </c>
      <c r="D24" s="46" t="s">
        <v>34</v>
      </c>
      <c r="E24" s="46">
        <v>1</v>
      </c>
      <c r="F24" s="57"/>
      <c r="G24" s="57"/>
      <c r="H24" s="48"/>
      <c r="I24" s="48"/>
      <c r="J24" s="58"/>
      <c r="K24" s="50">
        <v>0</v>
      </c>
      <c r="L24" s="51">
        <v>0</v>
      </c>
      <c r="M24" s="50">
        <f t="shared" si="0"/>
        <v>0</v>
      </c>
      <c r="N24" s="52">
        <f t="shared" si="1"/>
        <v>0</v>
      </c>
      <c r="O24" s="53">
        <f t="shared" si="2"/>
        <v>0</v>
      </c>
    </row>
    <row r="25" spans="1:19">
      <c r="A25" s="44">
        <v>11</v>
      </c>
      <c r="B25" s="45" t="str">
        <f>"0100000034"</f>
        <v>0100000034</v>
      </c>
      <c r="C25" s="46" t="s">
        <v>40</v>
      </c>
      <c r="D25" s="46" t="str">
        <f>"SC "</f>
        <v xml:space="preserve">SC </v>
      </c>
      <c r="E25" s="46">
        <v>4</v>
      </c>
      <c r="F25" s="57"/>
      <c r="G25" s="57"/>
      <c r="H25" s="48"/>
      <c r="I25" s="48"/>
      <c r="J25" s="58"/>
      <c r="K25" s="50">
        <v>0</v>
      </c>
      <c r="L25" s="51">
        <v>0</v>
      </c>
      <c r="M25" s="50">
        <f t="shared" si="0"/>
        <v>0</v>
      </c>
      <c r="N25" s="52">
        <f t="shared" si="1"/>
        <v>0</v>
      </c>
      <c r="O25" s="53">
        <f t="shared" si="2"/>
        <v>0</v>
      </c>
    </row>
    <row r="26" spans="1:19">
      <c r="A26" s="44">
        <v>12</v>
      </c>
      <c r="B26" s="45" t="str">
        <f>"0100000136"</f>
        <v>0100000136</v>
      </c>
      <c r="C26" s="46" t="s">
        <v>41</v>
      </c>
      <c r="D26" s="55" t="s">
        <v>34</v>
      </c>
      <c r="E26" s="59">
        <v>8</v>
      </c>
      <c r="F26" s="57"/>
      <c r="G26" s="57"/>
      <c r="H26" s="48"/>
      <c r="I26" s="48"/>
      <c r="J26" s="58"/>
      <c r="K26" s="50">
        <v>0</v>
      </c>
      <c r="L26" s="51">
        <v>0</v>
      </c>
      <c r="M26" s="50">
        <f t="shared" si="0"/>
        <v>0</v>
      </c>
      <c r="N26" s="52">
        <f t="shared" si="1"/>
        <v>0</v>
      </c>
      <c r="O26" s="53">
        <f t="shared" si="2"/>
        <v>0</v>
      </c>
      <c r="Q26" s="60"/>
      <c r="R26" s="60"/>
    </row>
    <row r="27" spans="1:19">
      <c r="A27" s="44">
        <v>13</v>
      </c>
      <c r="B27" s="45" t="str">
        <f>"0100000037"</f>
        <v>0100000037</v>
      </c>
      <c r="C27" s="46" t="s">
        <v>42</v>
      </c>
      <c r="D27" s="46" t="str">
        <f>"SC "</f>
        <v xml:space="preserve">SC </v>
      </c>
      <c r="E27" s="46">
        <v>68</v>
      </c>
      <c r="F27" s="57"/>
      <c r="G27" s="57"/>
      <c r="H27" s="48"/>
      <c r="I27" s="48"/>
      <c r="J27" s="58"/>
      <c r="K27" s="50">
        <v>0</v>
      </c>
      <c r="L27" s="51">
        <v>0</v>
      </c>
      <c r="M27" s="50">
        <f t="shared" si="0"/>
        <v>0</v>
      </c>
      <c r="N27" s="52">
        <f t="shared" si="1"/>
        <v>0</v>
      </c>
      <c r="O27" s="53">
        <f t="shared" si="2"/>
        <v>0</v>
      </c>
    </row>
    <row r="28" spans="1:19">
      <c r="A28" s="44">
        <v>14</v>
      </c>
      <c r="B28" s="45" t="str">
        <f>"0100000040"</f>
        <v>0100000040</v>
      </c>
      <c r="C28" s="46" t="s">
        <v>43</v>
      </c>
      <c r="D28" s="46" t="str">
        <f>"SC "</f>
        <v xml:space="preserve">SC </v>
      </c>
      <c r="E28" s="46">
        <v>7</v>
      </c>
      <c r="F28" s="57"/>
      <c r="G28" s="57"/>
      <c r="H28" s="48"/>
      <c r="I28" s="48"/>
      <c r="J28" s="58"/>
      <c r="K28" s="50">
        <v>0</v>
      </c>
      <c r="L28" s="51">
        <v>0</v>
      </c>
      <c r="M28" s="50">
        <f t="shared" si="0"/>
        <v>0</v>
      </c>
      <c r="N28" s="52">
        <f t="shared" si="1"/>
        <v>0</v>
      </c>
      <c r="O28" s="53">
        <f t="shared" si="2"/>
        <v>0</v>
      </c>
    </row>
    <row r="29" spans="1:19">
      <c r="A29" s="44">
        <v>15</v>
      </c>
      <c r="B29" s="45" t="str">
        <f>"0100000148"</f>
        <v>0100000148</v>
      </c>
      <c r="C29" s="46" t="s">
        <v>44</v>
      </c>
      <c r="D29" s="46" t="str">
        <f>"SC "</f>
        <v xml:space="preserve">SC </v>
      </c>
      <c r="E29" s="46">
        <v>2</v>
      </c>
      <c r="F29" s="57"/>
      <c r="G29" s="57"/>
      <c r="H29" s="48"/>
      <c r="I29" s="48"/>
      <c r="J29" s="58"/>
      <c r="K29" s="50">
        <v>0</v>
      </c>
      <c r="L29" s="51">
        <v>0</v>
      </c>
      <c r="M29" s="50">
        <f t="shared" si="0"/>
        <v>0</v>
      </c>
      <c r="N29" s="52">
        <f t="shared" si="1"/>
        <v>0</v>
      </c>
      <c r="O29" s="53">
        <f t="shared" si="2"/>
        <v>0</v>
      </c>
    </row>
    <row r="30" spans="1:19">
      <c r="A30" s="61">
        <v>16</v>
      </c>
      <c r="B30" s="62" t="str">
        <f>"0100000088"</f>
        <v>0100000088</v>
      </c>
      <c r="C30" s="63" t="s">
        <v>45</v>
      </c>
      <c r="D30" s="63" t="str">
        <f>"SC "</f>
        <v xml:space="preserve">SC </v>
      </c>
      <c r="E30" s="63">
        <v>45</v>
      </c>
      <c r="F30" s="64"/>
      <c r="G30" s="64"/>
      <c r="H30" s="65"/>
      <c r="I30" s="66"/>
      <c r="J30" s="65"/>
      <c r="K30" s="67">
        <v>0</v>
      </c>
      <c r="L30" s="68">
        <v>0</v>
      </c>
      <c r="M30" s="67">
        <f t="shared" si="0"/>
        <v>0</v>
      </c>
      <c r="N30" s="69">
        <f t="shared" si="1"/>
        <v>0</v>
      </c>
      <c r="O30" s="70">
        <f t="shared" si="2"/>
        <v>0</v>
      </c>
    </row>
    <row r="31" spans="1:19" ht="15.75">
      <c r="A31" s="120" t="s">
        <v>46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71">
        <f>SUM(N15:N30)</f>
        <v>0</v>
      </c>
      <c r="O31" s="72">
        <f>SUM(O15:O30)</f>
        <v>0</v>
      </c>
    </row>
    <row r="32" spans="1:19">
      <c r="A32" s="18"/>
      <c r="B32" s="18"/>
      <c r="C32" s="21"/>
      <c r="D32" s="18"/>
      <c r="E32" s="22"/>
      <c r="F32" s="22"/>
      <c r="G32" s="22"/>
      <c r="H32" s="23"/>
      <c r="I32" s="18"/>
      <c r="J32" s="18"/>
      <c r="K32" s="18"/>
      <c r="L32" s="23"/>
      <c r="M32" s="18"/>
      <c r="N32" s="18"/>
      <c r="O32" s="18"/>
    </row>
    <row r="33" spans="1:15">
      <c r="A33" s="18"/>
      <c r="B33" s="18"/>
      <c r="C33" s="19" t="s">
        <v>47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8"/>
      <c r="B34" s="18"/>
      <c r="C34" s="19" t="s">
        <v>48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8"/>
      <c r="B35" s="18"/>
      <c r="C35" s="21"/>
      <c r="D35" s="18"/>
      <c r="E35" s="22"/>
      <c r="F35" s="22"/>
      <c r="G35" s="22"/>
      <c r="H35" s="23"/>
      <c r="I35" s="18"/>
      <c r="J35" s="18"/>
      <c r="K35" s="18"/>
      <c r="L35" s="23"/>
      <c r="M35" s="18"/>
      <c r="N35" s="18"/>
      <c r="O35" s="18"/>
    </row>
    <row r="36" spans="1:15" ht="20.25">
      <c r="A36" s="121" t="s">
        <v>49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64.5">
      <c r="A37" s="24" t="s">
        <v>15</v>
      </c>
      <c r="B37" s="25" t="s">
        <v>16</v>
      </c>
      <c r="C37" s="25" t="s">
        <v>17</v>
      </c>
      <c r="D37" s="25" t="s">
        <v>18</v>
      </c>
      <c r="E37" s="26" t="s">
        <v>19</v>
      </c>
      <c r="F37" s="27" t="s">
        <v>20</v>
      </c>
      <c r="G37" s="27" t="s">
        <v>21</v>
      </c>
      <c r="H37" s="27" t="s">
        <v>22</v>
      </c>
      <c r="I37" s="27" t="s">
        <v>23</v>
      </c>
      <c r="J37" s="25" t="s">
        <v>24</v>
      </c>
      <c r="K37" s="28" t="s">
        <v>25</v>
      </c>
      <c r="L37" s="25" t="s">
        <v>26</v>
      </c>
      <c r="M37" s="28" t="s">
        <v>27</v>
      </c>
      <c r="N37" s="27" t="s">
        <v>28</v>
      </c>
      <c r="O37" s="29" t="s">
        <v>29</v>
      </c>
    </row>
    <row r="38" spans="1:15">
      <c r="A38" s="30">
        <v>1</v>
      </c>
      <c r="B38" s="31">
        <v>2</v>
      </c>
      <c r="C38" s="31">
        <v>3</v>
      </c>
      <c r="D38" s="31">
        <v>4</v>
      </c>
      <c r="E38" s="32">
        <v>5</v>
      </c>
      <c r="F38" s="31">
        <v>6</v>
      </c>
      <c r="G38" s="31">
        <v>7</v>
      </c>
      <c r="H38" s="31">
        <v>8</v>
      </c>
      <c r="I38" s="31">
        <v>9</v>
      </c>
      <c r="J38" s="31">
        <v>10</v>
      </c>
      <c r="K38" s="31">
        <v>11</v>
      </c>
      <c r="L38" s="31">
        <v>12</v>
      </c>
      <c r="M38" s="31">
        <v>13</v>
      </c>
      <c r="N38" s="31">
        <v>14</v>
      </c>
      <c r="O38" s="33">
        <v>15</v>
      </c>
    </row>
    <row r="39" spans="1:15">
      <c r="A39" s="73">
        <v>1</v>
      </c>
      <c r="B39" s="36" t="str">
        <f>"0100000105"</f>
        <v>0100000105</v>
      </c>
      <c r="C39" s="36" t="str">
        <f>"ARGENTI NITRAS 10 %           "</f>
        <v xml:space="preserve">ARGENTI NITRAS 10 %           </v>
      </c>
      <c r="D39" s="36" t="str">
        <f>"KOM"</f>
        <v>KOM</v>
      </c>
      <c r="E39" s="36">
        <v>7</v>
      </c>
      <c r="F39" s="37"/>
      <c r="G39" s="37"/>
      <c r="H39" s="38"/>
      <c r="I39" s="38"/>
      <c r="J39" s="39"/>
      <c r="K39" s="40">
        <v>0</v>
      </c>
      <c r="L39" s="41">
        <v>0</v>
      </c>
      <c r="M39" s="40">
        <f t="shared" ref="M39:M57" si="3">+K39+L39*K39/100</f>
        <v>0</v>
      </c>
      <c r="N39" s="42">
        <f t="shared" ref="N39:N57" si="4">+K39*E39</f>
        <v>0</v>
      </c>
      <c r="O39" s="43">
        <f t="shared" ref="O39:O57" si="5">+M39*E39</f>
        <v>0</v>
      </c>
    </row>
    <row r="40" spans="1:15">
      <c r="A40" s="74">
        <v>2</v>
      </c>
      <c r="B40" s="46" t="str">
        <f>"0100000006"</f>
        <v>0100000006</v>
      </c>
      <c r="C40" s="46" t="str">
        <f>"BERODUAL INHAL SOL 20 ML      "</f>
        <v xml:space="preserve">BERODUAL INHAL SOL 20 ML      </v>
      </c>
      <c r="D40" s="46" t="s">
        <v>50</v>
      </c>
      <c r="E40" s="46">
        <v>36</v>
      </c>
      <c r="F40" s="47"/>
      <c r="G40" s="47"/>
      <c r="H40" s="48"/>
      <c r="I40" s="48"/>
      <c r="J40" s="49"/>
      <c r="K40" s="50">
        <v>0</v>
      </c>
      <c r="L40" s="51">
        <v>0</v>
      </c>
      <c r="M40" s="50">
        <f t="shared" si="3"/>
        <v>0</v>
      </c>
      <c r="N40" s="52">
        <f t="shared" si="4"/>
        <v>0</v>
      </c>
      <c r="O40" s="53">
        <f t="shared" si="5"/>
        <v>0</v>
      </c>
    </row>
    <row r="41" spans="1:15">
      <c r="A41" s="74">
        <v>3</v>
      </c>
      <c r="B41" s="46" t="str">
        <f>"0100000098"</f>
        <v>0100000098</v>
      </c>
      <c r="C41" s="46" t="str">
        <f>"BERODUAL N -INHALACIJSKA RAZT."</f>
        <v>BERODUAL N -INHALACIJSKA RAZT.</v>
      </c>
      <c r="D41" s="46" t="str">
        <f>"KOM"</f>
        <v>KOM</v>
      </c>
      <c r="E41" s="46">
        <v>4</v>
      </c>
      <c r="F41" s="47"/>
      <c r="G41" s="47"/>
      <c r="H41" s="48"/>
      <c r="I41" s="48"/>
      <c r="J41" s="49"/>
      <c r="K41" s="50">
        <v>0</v>
      </c>
      <c r="L41" s="51">
        <v>0</v>
      </c>
      <c r="M41" s="50">
        <f t="shared" si="3"/>
        <v>0</v>
      </c>
      <c r="N41" s="52">
        <f t="shared" si="4"/>
        <v>0</v>
      </c>
      <c r="O41" s="53">
        <f t="shared" si="5"/>
        <v>0</v>
      </c>
    </row>
    <row r="42" spans="1:15">
      <c r="A42" s="74">
        <v>4</v>
      </c>
      <c r="B42" s="46" t="str">
        <f>"0100000235"</f>
        <v>0100000235</v>
      </c>
      <c r="C42" s="46" t="str">
        <f>"BETADINE SOL 10% 100 ML       "</f>
        <v xml:space="preserve">BETADINE SOL 10% 100 ML       </v>
      </c>
      <c r="D42" s="46" t="str">
        <f>"KOM"</f>
        <v>KOM</v>
      </c>
      <c r="E42" s="46">
        <v>5</v>
      </c>
      <c r="F42" s="47"/>
      <c r="G42" s="47"/>
      <c r="H42" s="48"/>
      <c r="I42" s="48"/>
      <c r="J42" s="49"/>
      <c r="K42" s="50">
        <v>0</v>
      </c>
      <c r="L42" s="51">
        <v>0</v>
      </c>
      <c r="M42" s="50">
        <f t="shared" si="3"/>
        <v>0</v>
      </c>
      <c r="N42" s="52">
        <f t="shared" si="4"/>
        <v>0</v>
      </c>
      <c r="O42" s="53">
        <f t="shared" si="5"/>
        <v>0</v>
      </c>
    </row>
    <row r="43" spans="1:15">
      <c r="A43" s="74">
        <v>5</v>
      </c>
      <c r="B43" s="46" t="str">
        <f>"0100000075"</f>
        <v>0100000075</v>
      </c>
      <c r="C43" s="46" t="str">
        <f>"CHLORAMPHENICOL SOL. A 200 ML "</f>
        <v xml:space="preserve">CHLORAMPHENICOL SOL. A 200 ML </v>
      </c>
      <c r="D43" s="46" t="str">
        <f>"KOM"</f>
        <v>KOM</v>
      </c>
      <c r="E43" s="46">
        <v>24</v>
      </c>
      <c r="F43" s="47"/>
      <c r="G43" s="47"/>
      <c r="H43" s="48"/>
      <c r="I43" s="48"/>
      <c r="J43" s="49"/>
      <c r="K43" s="50">
        <v>0</v>
      </c>
      <c r="L43" s="51">
        <v>0</v>
      </c>
      <c r="M43" s="50">
        <f t="shared" si="3"/>
        <v>0</v>
      </c>
      <c r="N43" s="52">
        <f t="shared" si="4"/>
        <v>0</v>
      </c>
      <c r="O43" s="53">
        <f t="shared" si="5"/>
        <v>0</v>
      </c>
    </row>
    <row r="44" spans="1:15">
      <c r="A44" s="74">
        <v>6</v>
      </c>
      <c r="B44" s="46" t="str">
        <f>"0200000170"</f>
        <v>0200000170</v>
      </c>
      <c r="C44" s="46" t="str">
        <f>"EPISTATUS 10MG/ML BUK TEK 5ML "</f>
        <v xml:space="preserve">EPISTATUS 10MG/ML BUK TEK 5ML </v>
      </c>
      <c r="D44" s="46" t="str">
        <f>"KOM"</f>
        <v>KOM</v>
      </c>
      <c r="E44" s="46">
        <v>2</v>
      </c>
      <c r="F44" s="47"/>
      <c r="G44" s="47"/>
      <c r="H44" s="48"/>
      <c r="I44" s="48"/>
      <c r="J44" s="49"/>
      <c r="K44" s="50">
        <v>0</v>
      </c>
      <c r="L44" s="51">
        <v>0</v>
      </c>
      <c r="M44" s="50">
        <f t="shared" si="3"/>
        <v>0</v>
      </c>
      <c r="N44" s="52">
        <f t="shared" si="4"/>
        <v>0</v>
      </c>
      <c r="O44" s="53">
        <f t="shared" si="5"/>
        <v>0</v>
      </c>
    </row>
    <row r="45" spans="1:15">
      <c r="A45" s="74">
        <v>7</v>
      </c>
      <c r="B45" s="46" t="str">
        <f>"0100000084"</f>
        <v>0100000084</v>
      </c>
      <c r="C45" s="46" t="str">
        <f>"GENTIANA VIOLET 1%            "</f>
        <v xml:space="preserve">GENTIANA VIOLET 1%            </v>
      </c>
      <c r="D45" s="46" t="s">
        <v>50</v>
      </c>
      <c r="E45" s="46">
        <v>31</v>
      </c>
      <c r="F45" s="47"/>
      <c r="G45" s="47"/>
      <c r="H45" s="54"/>
      <c r="I45" s="48"/>
      <c r="J45" s="49"/>
      <c r="K45" s="50">
        <v>0</v>
      </c>
      <c r="L45" s="51">
        <v>0</v>
      </c>
      <c r="M45" s="50">
        <f t="shared" si="3"/>
        <v>0</v>
      </c>
      <c r="N45" s="52">
        <f t="shared" si="4"/>
        <v>0</v>
      </c>
      <c r="O45" s="53">
        <f t="shared" si="5"/>
        <v>0</v>
      </c>
    </row>
    <row r="46" spans="1:15">
      <c r="A46" s="74">
        <v>8</v>
      </c>
      <c r="B46" s="46" t="str">
        <f>"0100000229"</f>
        <v>0100000229</v>
      </c>
      <c r="C46" s="46" t="str">
        <f>"INFECTODELL 5% RZT 2ML        "</f>
        <v xml:space="preserve">INFECTODELL 5% RZT 2ML        </v>
      </c>
      <c r="D46" s="46" t="str">
        <f t="shared" ref="D46:D52" si="6">"KOM"</f>
        <v>KOM</v>
      </c>
      <c r="E46" s="46">
        <v>1</v>
      </c>
      <c r="F46" s="47"/>
      <c r="G46" s="47"/>
      <c r="H46" s="54"/>
      <c r="I46" s="48"/>
      <c r="J46" s="49"/>
      <c r="K46" s="50">
        <v>0</v>
      </c>
      <c r="L46" s="51">
        <v>0</v>
      </c>
      <c r="M46" s="50">
        <f t="shared" si="3"/>
        <v>0</v>
      </c>
      <c r="N46" s="52">
        <f t="shared" si="4"/>
        <v>0</v>
      </c>
      <c r="O46" s="53">
        <f t="shared" si="5"/>
        <v>0</v>
      </c>
    </row>
    <row r="47" spans="1:15">
      <c r="A47" s="74">
        <v>9</v>
      </c>
      <c r="B47" s="46" t="str">
        <f>"0100000140"</f>
        <v>0100000140</v>
      </c>
      <c r="C47" s="46" t="str">
        <f>"LUGOL SOL. 100-200 ML         "</f>
        <v xml:space="preserve">LUGOL SOL. 100-200 ML         </v>
      </c>
      <c r="D47" s="46" t="str">
        <f t="shared" si="6"/>
        <v>KOM</v>
      </c>
      <c r="E47" s="46">
        <v>2</v>
      </c>
      <c r="F47" s="47"/>
      <c r="G47" s="47"/>
      <c r="H47" s="54"/>
      <c r="I47" s="48"/>
      <c r="J47" s="49"/>
      <c r="K47" s="50">
        <v>0</v>
      </c>
      <c r="L47" s="51">
        <v>0</v>
      </c>
      <c r="M47" s="50">
        <f t="shared" si="3"/>
        <v>0</v>
      </c>
      <c r="N47" s="52">
        <f t="shared" si="4"/>
        <v>0</v>
      </c>
      <c r="O47" s="53">
        <f t="shared" si="5"/>
        <v>0</v>
      </c>
    </row>
    <row r="48" spans="1:15">
      <c r="A48" s="74">
        <v>10</v>
      </c>
      <c r="B48" s="46" t="str">
        <f>"0100000185"</f>
        <v>0100000185</v>
      </c>
      <c r="C48" s="46" t="str">
        <f>"METAHOLIN SOL. 1%             "</f>
        <v xml:space="preserve">METAHOLIN SOL. 1%             </v>
      </c>
      <c r="D48" s="46" t="str">
        <f t="shared" si="6"/>
        <v>KOM</v>
      </c>
      <c r="E48" s="46">
        <v>4</v>
      </c>
      <c r="F48" s="47"/>
      <c r="G48" s="47"/>
      <c r="H48" s="54"/>
      <c r="I48" s="48"/>
      <c r="J48" s="49"/>
      <c r="K48" s="50">
        <v>0</v>
      </c>
      <c r="L48" s="51">
        <v>0</v>
      </c>
      <c r="M48" s="50">
        <f t="shared" si="3"/>
        <v>0</v>
      </c>
      <c r="N48" s="52">
        <f t="shared" si="4"/>
        <v>0</v>
      </c>
      <c r="O48" s="53">
        <f t="shared" si="5"/>
        <v>0</v>
      </c>
    </row>
    <row r="49" spans="1:15">
      <c r="A49" s="74">
        <v>11</v>
      </c>
      <c r="B49" s="46" t="str">
        <f>"0100000186"</f>
        <v>0100000186</v>
      </c>
      <c r="C49" s="46" t="str">
        <f>"METAHOLIN 10%                 "</f>
        <v xml:space="preserve">METAHOLIN 10%                 </v>
      </c>
      <c r="D49" s="46" t="str">
        <f t="shared" si="6"/>
        <v>KOM</v>
      </c>
      <c r="E49" s="46">
        <v>3</v>
      </c>
      <c r="F49" s="47"/>
      <c r="G49" s="47"/>
      <c r="H49" s="54"/>
      <c r="I49" s="48"/>
      <c r="J49" s="49"/>
      <c r="K49" s="50">
        <v>0</v>
      </c>
      <c r="L49" s="51">
        <v>0</v>
      </c>
      <c r="M49" s="50">
        <f t="shared" si="3"/>
        <v>0</v>
      </c>
      <c r="N49" s="52">
        <f t="shared" si="4"/>
        <v>0</v>
      </c>
      <c r="O49" s="53">
        <f t="shared" si="5"/>
        <v>0</v>
      </c>
    </row>
    <row r="50" spans="1:15">
      <c r="A50" s="74">
        <v>12</v>
      </c>
      <c r="B50" s="46" t="str">
        <f>"0100000190"</f>
        <v>0100000190</v>
      </c>
      <c r="C50" s="46" t="str">
        <f>"MYDRIACYL 0,5% SOL.15 ML      "</f>
        <v xml:space="preserve">MYDRIACYL 0,5% SOL.15 ML      </v>
      </c>
      <c r="D50" s="46" t="str">
        <f t="shared" si="6"/>
        <v>KOM</v>
      </c>
      <c r="E50" s="46">
        <v>1</v>
      </c>
      <c r="F50" s="47"/>
      <c r="G50" s="47"/>
      <c r="H50" s="54"/>
      <c r="I50" s="48"/>
      <c r="J50" s="49"/>
      <c r="K50" s="50">
        <v>0</v>
      </c>
      <c r="L50" s="51">
        <v>0</v>
      </c>
      <c r="M50" s="50">
        <f t="shared" si="3"/>
        <v>0</v>
      </c>
      <c r="N50" s="52">
        <f t="shared" si="4"/>
        <v>0</v>
      </c>
      <c r="O50" s="53">
        <f t="shared" si="5"/>
        <v>0</v>
      </c>
    </row>
    <row r="51" spans="1:15">
      <c r="A51" s="74">
        <v>13</v>
      </c>
      <c r="B51" s="46" t="str">
        <f>"0100000228"</f>
        <v>0100000228</v>
      </c>
      <c r="C51" s="46" t="str">
        <f>"MYDRIACYL 1 % 15 ML           "</f>
        <v xml:space="preserve">MYDRIACYL 1 % 15 ML           </v>
      </c>
      <c r="D51" s="46" t="str">
        <f t="shared" si="6"/>
        <v>KOM</v>
      </c>
      <c r="E51" s="46">
        <v>3</v>
      </c>
      <c r="F51" s="47"/>
      <c r="G51" s="47"/>
      <c r="H51" s="48"/>
      <c r="I51" s="48"/>
      <c r="J51" s="49"/>
      <c r="K51" s="50">
        <v>0</v>
      </c>
      <c r="L51" s="51">
        <v>0</v>
      </c>
      <c r="M51" s="50">
        <f t="shared" si="3"/>
        <v>0</v>
      </c>
      <c r="N51" s="52">
        <f t="shared" si="4"/>
        <v>0</v>
      </c>
      <c r="O51" s="53">
        <f t="shared" si="5"/>
        <v>0</v>
      </c>
    </row>
    <row r="52" spans="1:15">
      <c r="A52" s="74">
        <v>14</v>
      </c>
      <c r="B52" s="46" t="str">
        <f>"0100000208"</f>
        <v>0100000208</v>
      </c>
      <c r="C52" s="46" t="str">
        <f>"OFENOSEPT RAZTOPINA 500 ML    "</f>
        <v xml:space="preserve">OFENOSEPT RAZTOPINA 500 ML    </v>
      </c>
      <c r="D52" s="46" t="str">
        <f t="shared" si="6"/>
        <v>KOM</v>
      </c>
      <c r="E52" s="46">
        <v>20</v>
      </c>
      <c r="F52" s="56"/>
      <c r="G52" s="56"/>
      <c r="H52" s="49"/>
      <c r="I52" s="48"/>
      <c r="J52" s="49"/>
      <c r="K52" s="50">
        <v>0</v>
      </c>
      <c r="L52" s="51">
        <v>0</v>
      </c>
      <c r="M52" s="50">
        <f t="shared" si="3"/>
        <v>0</v>
      </c>
      <c r="N52" s="52">
        <f t="shared" si="4"/>
        <v>0</v>
      </c>
      <c r="O52" s="53">
        <f t="shared" si="5"/>
        <v>0</v>
      </c>
    </row>
    <row r="53" spans="1:15">
      <c r="A53" s="74">
        <v>15</v>
      </c>
      <c r="B53" s="46"/>
      <c r="C53" s="46" t="s">
        <v>51</v>
      </c>
      <c r="D53" s="46" t="s">
        <v>50</v>
      </c>
      <c r="E53" s="46">
        <v>7</v>
      </c>
      <c r="F53" s="57"/>
      <c r="G53" s="57"/>
      <c r="H53" s="48"/>
      <c r="I53" s="48"/>
      <c r="J53" s="58"/>
      <c r="K53" s="50">
        <v>0</v>
      </c>
      <c r="L53" s="51">
        <v>0</v>
      </c>
      <c r="M53" s="50">
        <f t="shared" si="3"/>
        <v>0</v>
      </c>
      <c r="N53" s="52">
        <f t="shared" si="4"/>
        <v>0</v>
      </c>
      <c r="O53" s="53">
        <f t="shared" si="5"/>
        <v>0</v>
      </c>
    </row>
    <row r="54" spans="1:15">
      <c r="A54" s="74">
        <v>16</v>
      </c>
      <c r="B54" s="46"/>
      <c r="C54" s="46" t="s">
        <v>52</v>
      </c>
      <c r="D54" s="46" t="s">
        <v>50</v>
      </c>
      <c r="E54" s="46">
        <v>7</v>
      </c>
      <c r="F54" s="57"/>
      <c r="G54" s="57"/>
      <c r="H54" s="48"/>
      <c r="I54" s="48"/>
      <c r="J54" s="58"/>
      <c r="K54" s="50">
        <v>0</v>
      </c>
      <c r="L54" s="51">
        <v>0</v>
      </c>
      <c r="M54" s="50">
        <f t="shared" si="3"/>
        <v>0</v>
      </c>
      <c r="N54" s="52">
        <f t="shared" si="4"/>
        <v>0</v>
      </c>
      <c r="O54" s="53">
        <f t="shared" si="5"/>
        <v>0</v>
      </c>
    </row>
    <row r="55" spans="1:15">
      <c r="A55" s="74">
        <v>17</v>
      </c>
      <c r="B55" s="46" t="str">
        <f>"0202000024"</f>
        <v>0202000024</v>
      </c>
      <c r="C55" s="46" t="str">
        <f>"PRONTOSAN RAZTOPINA           "</f>
        <v xml:space="preserve">PRONTOSAN RAZTOPINA           </v>
      </c>
      <c r="D55" s="46" t="str">
        <f>"KOM"</f>
        <v>KOM</v>
      </c>
      <c r="E55" s="46">
        <v>8</v>
      </c>
      <c r="F55" s="57"/>
      <c r="G55" s="57"/>
      <c r="H55" s="48"/>
      <c r="I55" s="48"/>
      <c r="J55" s="58"/>
      <c r="K55" s="50">
        <v>0</v>
      </c>
      <c r="L55" s="51">
        <v>0</v>
      </c>
      <c r="M55" s="50">
        <f t="shared" si="3"/>
        <v>0</v>
      </c>
      <c r="N55" s="52">
        <f t="shared" si="4"/>
        <v>0</v>
      </c>
      <c r="O55" s="53">
        <f t="shared" si="5"/>
        <v>0</v>
      </c>
    </row>
    <row r="56" spans="1:15">
      <c r="A56" s="74">
        <v>18</v>
      </c>
      <c r="B56" s="46" t="str">
        <f>"0100000108"</f>
        <v>0100000108</v>
      </c>
      <c r="C56" s="46" t="str">
        <f>"VENTOLIN RAZTOPINA ZA INHALIR."</f>
        <v>VENTOLIN RAZTOPINA ZA INHALIR.</v>
      </c>
      <c r="D56" s="46" t="str">
        <f>"KOM"</f>
        <v>KOM</v>
      </c>
      <c r="E56" s="46">
        <v>12</v>
      </c>
      <c r="F56" s="57"/>
      <c r="G56" s="57"/>
      <c r="H56" s="48"/>
      <c r="I56" s="48"/>
      <c r="J56" s="58"/>
      <c r="K56" s="50">
        <v>0</v>
      </c>
      <c r="L56" s="51">
        <v>0</v>
      </c>
      <c r="M56" s="50">
        <f t="shared" si="3"/>
        <v>0</v>
      </c>
      <c r="N56" s="52">
        <f t="shared" si="4"/>
        <v>0</v>
      </c>
      <c r="O56" s="53">
        <f t="shared" si="5"/>
        <v>0</v>
      </c>
    </row>
    <row r="57" spans="1:15">
      <c r="A57" s="75">
        <v>19</v>
      </c>
      <c r="B57" s="63" t="str">
        <f>"0200000168"</f>
        <v>0200000168</v>
      </c>
      <c r="C57" s="63" t="str">
        <f>"XGEVA 120 MG RAZ. 1,7 ML      "</f>
        <v xml:space="preserve">XGEVA 120 MG RAZ. 1,7 ML      </v>
      </c>
      <c r="D57" s="63" t="str">
        <f>"KOM"</f>
        <v>KOM</v>
      </c>
      <c r="E57" s="63">
        <v>18</v>
      </c>
      <c r="F57" s="76"/>
      <c r="G57" s="76"/>
      <c r="H57" s="66"/>
      <c r="I57" s="66"/>
      <c r="J57" s="77"/>
      <c r="K57" s="67">
        <v>0</v>
      </c>
      <c r="L57" s="68">
        <v>0</v>
      </c>
      <c r="M57" s="67">
        <f t="shared" si="3"/>
        <v>0</v>
      </c>
      <c r="N57" s="69">
        <f t="shared" si="4"/>
        <v>0</v>
      </c>
      <c r="O57" s="70">
        <f t="shared" si="5"/>
        <v>0</v>
      </c>
    </row>
    <row r="58" spans="1:15" ht="15.75">
      <c r="A58" s="120" t="s">
        <v>46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71">
        <f>SUM(N39:N57)</f>
        <v>0</v>
      </c>
      <c r="O58" s="72">
        <f>SUM(O39:O57)</f>
        <v>0</v>
      </c>
    </row>
    <row r="59" spans="1:15">
      <c r="A59" s="18"/>
      <c r="B59" s="18"/>
      <c r="C59" s="21"/>
      <c r="D59" s="18"/>
      <c r="E59" s="22"/>
      <c r="F59" s="22"/>
      <c r="G59" s="22"/>
      <c r="H59" s="23"/>
      <c r="I59" s="18"/>
      <c r="J59" s="18"/>
      <c r="K59" s="18"/>
      <c r="L59" s="23"/>
      <c r="M59" s="18"/>
      <c r="N59" s="18"/>
      <c r="O59" s="18"/>
    </row>
    <row r="60" spans="1:15">
      <c r="A60" s="18"/>
      <c r="B60" s="18"/>
      <c r="C60" s="19" t="s">
        <v>47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>
      <c r="A61" s="18"/>
      <c r="B61" s="18"/>
      <c r="C61" s="19" t="s">
        <v>48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>
      <c r="A62" s="18"/>
      <c r="B62" s="18"/>
      <c r="C62" s="21"/>
      <c r="D62" s="18"/>
      <c r="E62" s="22"/>
      <c r="F62" s="22"/>
      <c r="G62" s="22"/>
      <c r="H62" s="23"/>
      <c r="I62" s="18"/>
      <c r="J62" s="18"/>
      <c r="K62" s="18"/>
      <c r="L62" s="23"/>
      <c r="M62" s="18"/>
      <c r="N62" s="18"/>
      <c r="O62" s="18"/>
    </row>
    <row r="63" spans="1:15" ht="20.25">
      <c r="A63" s="121" t="s">
        <v>53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ht="64.5">
      <c r="A64" s="24" t="s">
        <v>15</v>
      </c>
      <c r="B64" s="25" t="s">
        <v>16</v>
      </c>
      <c r="C64" s="25" t="s">
        <v>17</v>
      </c>
      <c r="D64" s="25" t="s">
        <v>18</v>
      </c>
      <c r="E64" s="26" t="s">
        <v>19</v>
      </c>
      <c r="F64" s="27" t="s">
        <v>20</v>
      </c>
      <c r="G64" s="27" t="s">
        <v>21</v>
      </c>
      <c r="H64" s="27" t="s">
        <v>22</v>
      </c>
      <c r="I64" s="27" t="s">
        <v>23</v>
      </c>
      <c r="J64" s="25" t="s">
        <v>24</v>
      </c>
      <c r="K64" s="28" t="s">
        <v>25</v>
      </c>
      <c r="L64" s="25" t="s">
        <v>26</v>
      </c>
      <c r="M64" s="28" t="s">
        <v>27</v>
      </c>
      <c r="N64" s="27" t="s">
        <v>28</v>
      </c>
      <c r="O64" s="29" t="s">
        <v>29</v>
      </c>
    </row>
    <row r="65" spans="1:15">
      <c r="A65" s="30">
        <v>1</v>
      </c>
      <c r="B65" s="31">
        <v>2</v>
      </c>
      <c r="C65" s="31">
        <v>3</v>
      </c>
      <c r="D65" s="31">
        <v>4</v>
      </c>
      <c r="E65" s="32">
        <v>5</v>
      </c>
      <c r="F65" s="31">
        <v>6</v>
      </c>
      <c r="G65" s="31">
        <v>7</v>
      </c>
      <c r="H65" s="31">
        <v>8</v>
      </c>
      <c r="I65" s="31">
        <v>9</v>
      </c>
      <c r="J65" s="31">
        <v>10</v>
      </c>
      <c r="K65" s="31">
        <v>11</v>
      </c>
      <c r="L65" s="31">
        <v>12</v>
      </c>
      <c r="M65" s="31">
        <v>13</v>
      </c>
      <c r="N65" s="31">
        <v>14</v>
      </c>
      <c r="O65" s="33">
        <v>15</v>
      </c>
    </row>
    <row r="66" spans="1:15">
      <c r="A66" s="73">
        <v>1</v>
      </c>
      <c r="B66" s="36" t="str">
        <f>"0100000189"</f>
        <v>0100000189</v>
      </c>
      <c r="C66" s="36" t="str">
        <f>"IBUBEL SIRUP                  "</f>
        <v xml:space="preserve">IBUBEL SIRUP                  </v>
      </c>
      <c r="D66" s="36" t="str">
        <f>"KOM"</f>
        <v>KOM</v>
      </c>
      <c r="E66" s="36">
        <v>3</v>
      </c>
      <c r="F66" s="37"/>
      <c r="G66" s="37"/>
      <c r="H66" s="38"/>
      <c r="I66" s="38"/>
      <c r="J66" s="39"/>
      <c r="K66" s="40">
        <v>0</v>
      </c>
      <c r="L66" s="41">
        <v>0</v>
      </c>
      <c r="M66" s="40">
        <f>+K66+L66*K66/100</f>
        <v>0</v>
      </c>
      <c r="N66" s="42">
        <f>+K66*E66</f>
        <v>0</v>
      </c>
      <c r="O66" s="43">
        <f>+M66*E66</f>
        <v>0</v>
      </c>
    </row>
    <row r="67" spans="1:15">
      <c r="A67" s="74">
        <v>2</v>
      </c>
      <c r="B67" s="46" t="str">
        <f>"0100000010"</f>
        <v>0100000010</v>
      </c>
      <c r="C67" s="46" t="str">
        <f>"CALPOL 6 PLUS SUSP 100 ML     "</f>
        <v xml:space="preserve">CALPOL 6 PLUS SUSP 100 ML     </v>
      </c>
      <c r="D67" s="46" t="s">
        <v>50</v>
      </c>
      <c r="E67" s="46">
        <v>3</v>
      </c>
      <c r="F67" s="47"/>
      <c r="G67" s="47"/>
      <c r="H67" s="48"/>
      <c r="I67" s="48"/>
      <c r="J67" s="49"/>
      <c r="K67" s="50">
        <v>0</v>
      </c>
      <c r="L67" s="51">
        <v>0</v>
      </c>
      <c r="M67" s="50">
        <f>+K67+L67*K67/100</f>
        <v>0</v>
      </c>
      <c r="N67" s="52">
        <f>+K67*E67</f>
        <v>0</v>
      </c>
      <c r="O67" s="53">
        <f>+M67*E67</f>
        <v>0</v>
      </c>
    </row>
    <row r="68" spans="1:15">
      <c r="A68" s="74">
        <v>3</v>
      </c>
      <c r="B68" s="46" t="str">
        <f>"0100000011"</f>
        <v>0100000011</v>
      </c>
      <c r="C68" s="46" t="str">
        <f>"CALPOL SUSP 140 ML GLA        "</f>
        <v xml:space="preserve">CALPOL SUSP 140 ML GLA        </v>
      </c>
      <c r="D68" s="46" t="s">
        <v>50</v>
      </c>
      <c r="E68" s="46">
        <v>4</v>
      </c>
      <c r="F68" s="47"/>
      <c r="G68" s="47"/>
      <c r="H68" s="48"/>
      <c r="I68" s="48"/>
      <c r="J68" s="49"/>
      <c r="K68" s="50">
        <v>0</v>
      </c>
      <c r="L68" s="51">
        <v>0</v>
      </c>
      <c r="M68" s="50">
        <f>+K68+L68*K68/100</f>
        <v>0</v>
      </c>
      <c r="N68" s="52">
        <f>+K68*E68</f>
        <v>0</v>
      </c>
      <c r="O68" s="53">
        <f>+M68*E68</f>
        <v>0</v>
      </c>
    </row>
    <row r="69" spans="1:15">
      <c r="A69" s="75">
        <v>4</v>
      </c>
      <c r="B69" s="63" t="str">
        <f>"0100000014"</f>
        <v>0100000014</v>
      </c>
      <c r="C69" s="63" t="str">
        <f>"CLARITINE SIRUP 120 ML ESS    "</f>
        <v xml:space="preserve">CLARITINE SIRUP 120 ML ESS    </v>
      </c>
      <c r="D69" s="63" t="s">
        <v>50</v>
      </c>
      <c r="E69" s="63">
        <v>4</v>
      </c>
      <c r="F69" s="78"/>
      <c r="G69" s="78"/>
      <c r="H69" s="66"/>
      <c r="I69" s="66"/>
      <c r="J69" s="65"/>
      <c r="K69" s="67">
        <v>0</v>
      </c>
      <c r="L69" s="68">
        <v>0</v>
      </c>
      <c r="M69" s="67">
        <f>+K69+L69*K69/100</f>
        <v>0</v>
      </c>
      <c r="N69" s="69">
        <f>+K69*E69</f>
        <v>0</v>
      </c>
      <c r="O69" s="70">
        <f>+M69*E69</f>
        <v>0</v>
      </c>
    </row>
    <row r="70" spans="1:15" ht="15.75">
      <c r="A70" s="120" t="s">
        <v>46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71">
        <f>SUM(N66:N69)</f>
        <v>0</v>
      </c>
      <c r="O70" s="72">
        <f>SUM(O66:O69)</f>
        <v>0</v>
      </c>
    </row>
    <row r="71" spans="1:15">
      <c r="A71" s="18"/>
      <c r="B71" s="18"/>
      <c r="C71" s="21"/>
      <c r="D71" s="18"/>
      <c r="E71" s="22"/>
      <c r="F71" s="22"/>
      <c r="G71" s="22"/>
      <c r="H71" s="23"/>
      <c r="I71" s="18"/>
      <c r="J71" s="18"/>
      <c r="K71" s="18"/>
      <c r="L71" s="23"/>
      <c r="M71" s="18"/>
      <c r="N71" s="18"/>
      <c r="O71" s="18"/>
    </row>
    <row r="72" spans="1:15">
      <c r="A72" s="18"/>
      <c r="B72" s="18"/>
      <c r="C72" s="19" t="s">
        <v>47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>
      <c r="A73" s="18"/>
      <c r="B73" s="18"/>
      <c r="C73" s="19" t="s">
        <v>48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>
      <c r="A74" s="2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20.25">
      <c r="A75" s="121" t="s">
        <v>54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1:15" ht="64.5">
      <c r="A76" s="24" t="s">
        <v>15</v>
      </c>
      <c r="B76" s="25" t="s">
        <v>16</v>
      </c>
      <c r="C76" s="25" t="s">
        <v>17</v>
      </c>
      <c r="D76" s="25" t="s">
        <v>18</v>
      </c>
      <c r="E76" s="26" t="s">
        <v>19</v>
      </c>
      <c r="F76" s="27" t="s">
        <v>20</v>
      </c>
      <c r="G76" s="27" t="s">
        <v>21</v>
      </c>
      <c r="H76" s="27" t="s">
        <v>22</v>
      </c>
      <c r="I76" s="27" t="s">
        <v>23</v>
      </c>
      <c r="J76" s="25" t="s">
        <v>24</v>
      </c>
      <c r="K76" s="28" t="s">
        <v>25</v>
      </c>
      <c r="L76" s="25" t="s">
        <v>26</v>
      </c>
      <c r="M76" s="28" t="s">
        <v>27</v>
      </c>
      <c r="N76" s="27" t="s">
        <v>28</v>
      </c>
      <c r="O76" s="29" t="s">
        <v>29</v>
      </c>
    </row>
    <row r="77" spans="1:15">
      <c r="A77" s="30">
        <v>1</v>
      </c>
      <c r="B77" s="31">
        <v>2</v>
      </c>
      <c r="C77" s="31">
        <v>3</v>
      </c>
      <c r="D77" s="31">
        <v>4</v>
      </c>
      <c r="E77" s="32">
        <v>5</v>
      </c>
      <c r="F77" s="31">
        <v>6</v>
      </c>
      <c r="G77" s="31">
        <v>7</v>
      </c>
      <c r="H77" s="31">
        <v>8</v>
      </c>
      <c r="I77" s="31">
        <v>9</v>
      </c>
      <c r="J77" s="31">
        <v>10</v>
      </c>
      <c r="K77" s="31">
        <v>11</v>
      </c>
      <c r="L77" s="31">
        <v>12</v>
      </c>
      <c r="M77" s="31">
        <v>13</v>
      </c>
      <c r="N77" s="31">
        <v>14</v>
      </c>
      <c r="O77" s="33">
        <v>15</v>
      </c>
    </row>
    <row r="78" spans="1:15">
      <c r="A78" s="73">
        <v>1</v>
      </c>
      <c r="B78" s="36" t="str">
        <f>"0100000142"</f>
        <v>0100000142</v>
      </c>
      <c r="C78" s="36" t="str">
        <f>"BELODERM KREMA 15 G BE        "</f>
        <v xml:space="preserve">BELODERM KREMA 15 G BE        </v>
      </c>
      <c r="D78" s="36" t="str">
        <f>"KOM"</f>
        <v>KOM</v>
      </c>
      <c r="E78" s="36">
        <v>15</v>
      </c>
      <c r="F78" s="37"/>
      <c r="G78" s="37"/>
      <c r="H78" s="38"/>
      <c r="I78" s="38"/>
      <c r="J78" s="39"/>
      <c r="K78" s="40">
        <v>0</v>
      </c>
      <c r="L78" s="41">
        <v>0</v>
      </c>
      <c r="M78" s="40">
        <f t="shared" ref="M78:M104" si="7">+K78+L78*K78/100</f>
        <v>0</v>
      </c>
      <c r="N78" s="42">
        <f t="shared" ref="N78:N104" si="8">+K78*E78</f>
        <v>0</v>
      </c>
      <c r="O78" s="43">
        <f t="shared" ref="O78:O104" si="9">+M78*E78</f>
        <v>0</v>
      </c>
    </row>
    <row r="79" spans="1:15">
      <c r="A79" s="74">
        <v>2</v>
      </c>
      <c r="B79" s="46" t="str">
        <f>"0100000203"</f>
        <v>0100000203</v>
      </c>
      <c r="C79" s="46" t="str">
        <f>"BELOGENT 0,5MG/1MG KREMA 30G  "</f>
        <v xml:space="preserve">BELOGENT 0,5MG/1MG KREMA 30G  </v>
      </c>
      <c r="D79" s="46" t="str">
        <f>"KOM"</f>
        <v>KOM</v>
      </c>
      <c r="E79" s="46">
        <v>6</v>
      </c>
      <c r="F79" s="47"/>
      <c r="G79" s="47"/>
      <c r="H79" s="48"/>
      <c r="I79" s="48"/>
      <c r="J79" s="49"/>
      <c r="K79" s="50">
        <v>0</v>
      </c>
      <c r="L79" s="51">
        <v>0</v>
      </c>
      <c r="M79" s="50">
        <f t="shared" si="7"/>
        <v>0</v>
      </c>
      <c r="N79" s="52">
        <f t="shared" si="8"/>
        <v>0</v>
      </c>
      <c r="O79" s="53">
        <f t="shared" si="9"/>
        <v>0</v>
      </c>
    </row>
    <row r="80" spans="1:15">
      <c r="A80" s="74">
        <v>3</v>
      </c>
      <c r="B80" s="46" t="str">
        <f>"0100000231"</f>
        <v>0100000231</v>
      </c>
      <c r="C80" s="46" t="str">
        <f>"BEPANTHEN PLUS KREMA          "</f>
        <v xml:space="preserve">BEPANTHEN PLUS KREMA          </v>
      </c>
      <c r="D80" s="46" t="str">
        <f>"KOM"</f>
        <v>KOM</v>
      </c>
      <c r="E80" s="46">
        <v>10</v>
      </c>
      <c r="F80" s="47"/>
      <c r="G80" s="47"/>
      <c r="H80" s="48"/>
      <c r="I80" s="48"/>
      <c r="J80" s="49"/>
      <c r="K80" s="50">
        <v>0</v>
      </c>
      <c r="L80" s="51">
        <v>0</v>
      </c>
      <c r="M80" s="50">
        <f t="shared" si="7"/>
        <v>0</v>
      </c>
      <c r="N80" s="52">
        <f t="shared" si="8"/>
        <v>0</v>
      </c>
      <c r="O80" s="53">
        <f t="shared" si="9"/>
        <v>0</v>
      </c>
    </row>
    <row r="81" spans="1:15">
      <c r="A81" s="74">
        <v>4</v>
      </c>
      <c r="B81" s="46" t="str">
        <f>"0100000096"</f>
        <v>0100000096</v>
      </c>
      <c r="C81" s="46" t="str">
        <f>"CANESTEN KREMA                "</f>
        <v xml:space="preserve">CANESTEN KREMA                </v>
      </c>
      <c r="D81" s="46" t="s">
        <v>50</v>
      </c>
      <c r="E81" s="46">
        <v>11</v>
      </c>
      <c r="F81" s="47"/>
      <c r="G81" s="47"/>
      <c r="H81" s="48"/>
      <c r="I81" s="48"/>
      <c r="J81" s="49"/>
      <c r="K81" s="50">
        <v>0</v>
      </c>
      <c r="L81" s="51">
        <v>0</v>
      </c>
      <c r="M81" s="50">
        <f t="shared" si="7"/>
        <v>0</v>
      </c>
      <c r="N81" s="52">
        <f t="shared" si="8"/>
        <v>0</v>
      </c>
      <c r="O81" s="53">
        <f t="shared" si="9"/>
        <v>0</v>
      </c>
    </row>
    <row r="82" spans="1:15">
      <c r="A82" s="74">
        <v>5</v>
      </c>
      <c r="B82" s="46" t="str">
        <f>"0100000013"</f>
        <v>0100000013</v>
      </c>
      <c r="C82" s="46" t="str">
        <f>"CHLORAMPHENICOL UNG 1%        "</f>
        <v xml:space="preserve">CHLORAMPHENICOL UNG 1%        </v>
      </c>
      <c r="D82" s="46" t="str">
        <f>"KOM"</f>
        <v>KOM</v>
      </c>
      <c r="E82" s="46">
        <v>24</v>
      </c>
      <c r="F82" s="47"/>
      <c r="G82" s="47"/>
      <c r="H82" s="48"/>
      <c r="I82" s="48"/>
      <c r="J82" s="49"/>
      <c r="K82" s="50">
        <v>0</v>
      </c>
      <c r="L82" s="51">
        <v>0</v>
      </c>
      <c r="M82" s="50">
        <f t="shared" si="7"/>
        <v>0</v>
      </c>
      <c r="N82" s="52">
        <f t="shared" si="8"/>
        <v>0</v>
      </c>
      <c r="O82" s="53">
        <f t="shared" si="9"/>
        <v>0</v>
      </c>
    </row>
    <row r="83" spans="1:15">
      <c r="A83" s="74">
        <v>6</v>
      </c>
      <c r="B83" s="46" t="str">
        <f>"0100000018"</f>
        <v>0100000018</v>
      </c>
      <c r="C83" s="46" t="str">
        <f>"DAKTARIN KREMA 30 GR KK       "</f>
        <v xml:space="preserve">DAKTARIN KREMA 30 GR KK       </v>
      </c>
      <c r="D83" s="46" t="str">
        <f>"KOM"</f>
        <v>KOM</v>
      </c>
      <c r="E83" s="46">
        <v>10</v>
      </c>
      <c r="F83" s="47"/>
      <c r="G83" s="47"/>
      <c r="H83" s="48"/>
      <c r="I83" s="48"/>
      <c r="J83" s="49"/>
      <c r="K83" s="50">
        <v>0</v>
      </c>
      <c r="L83" s="51">
        <v>0</v>
      </c>
      <c r="M83" s="50">
        <f t="shared" si="7"/>
        <v>0</v>
      </c>
      <c r="N83" s="52">
        <f t="shared" si="8"/>
        <v>0</v>
      </c>
      <c r="O83" s="53">
        <f t="shared" si="9"/>
        <v>0</v>
      </c>
    </row>
    <row r="84" spans="1:15">
      <c r="A84" s="74">
        <v>7</v>
      </c>
      <c r="B84" s="46" t="str">
        <f>"0100000019"</f>
        <v>0100000019</v>
      </c>
      <c r="C84" s="46" t="str">
        <f>"DAKTARIN ORALNI GEL 40 G      "</f>
        <v xml:space="preserve">DAKTARIN ORALNI GEL 40 G      </v>
      </c>
      <c r="D84" s="46" t="s">
        <v>50</v>
      </c>
      <c r="E84" s="46">
        <v>17</v>
      </c>
      <c r="F84" s="47"/>
      <c r="G84" s="47"/>
      <c r="H84" s="54"/>
      <c r="I84" s="48"/>
      <c r="J84" s="49"/>
      <c r="K84" s="50">
        <v>0</v>
      </c>
      <c r="L84" s="51">
        <v>0</v>
      </c>
      <c r="M84" s="50">
        <f t="shared" si="7"/>
        <v>0</v>
      </c>
      <c r="N84" s="52">
        <f t="shared" si="8"/>
        <v>0</v>
      </c>
      <c r="O84" s="53">
        <f t="shared" si="9"/>
        <v>0</v>
      </c>
    </row>
    <row r="85" spans="1:15">
      <c r="A85" s="74">
        <v>8</v>
      </c>
      <c r="B85" s="46" t="str">
        <f>"0100000020"</f>
        <v>0100000020</v>
      </c>
      <c r="C85" s="46" t="str">
        <f>"DERMAZIN KREMA 50 G LK        "</f>
        <v xml:space="preserve">DERMAZIN KREMA 50 G LK        </v>
      </c>
      <c r="D85" s="46" t="s">
        <v>50</v>
      </c>
      <c r="E85" s="46">
        <v>15</v>
      </c>
      <c r="F85" s="47"/>
      <c r="G85" s="47"/>
      <c r="H85" s="54"/>
      <c r="I85" s="48"/>
      <c r="J85" s="49"/>
      <c r="K85" s="50">
        <v>0</v>
      </c>
      <c r="L85" s="51">
        <v>0</v>
      </c>
      <c r="M85" s="50">
        <f t="shared" si="7"/>
        <v>0</v>
      </c>
      <c r="N85" s="52">
        <f t="shared" si="8"/>
        <v>0</v>
      </c>
      <c r="O85" s="53">
        <f t="shared" si="9"/>
        <v>0</v>
      </c>
    </row>
    <row r="86" spans="1:15">
      <c r="A86" s="74">
        <v>9</v>
      </c>
      <c r="B86" s="46" t="str">
        <f>"0100000141"</f>
        <v>0100000141</v>
      </c>
      <c r="C86" s="46" t="str">
        <f>"DERMAZIN KREMA 250G           "</f>
        <v xml:space="preserve">DERMAZIN KREMA 250G           </v>
      </c>
      <c r="D86" s="46" t="str">
        <f>"KOM"</f>
        <v>KOM</v>
      </c>
      <c r="E86" s="46">
        <v>19</v>
      </c>
      <c r="F86" s="47"/>
      <c r="G86" s="47"/>
      <c r="H86" s="54"/>
      <c r="I86" s="48"/>
      <c r="J86" s="49"/>
      <c r="K86" s="50">
        <v>0</v>
      </c>
      <c r="L86" s="51">
        <v>0</v>
      </c>
      <c r="M86" s="50">
        <f t="shared" si="7"/>
        <v>0</v>
      </c>
      <c r="N86" s="52">
        <f t="shared" si="8"/>
        <v>0</v>
      </c>
      <c r="O86" s="53">
        <f t="shared" si="9"/>
        <v>0</v>
      </c>
    </row>
    <row r="87" spans="1:15">
      <c r="A87" s="74">
        <v>10</v>
      </c>
      <c r="B87" s="46" t="str">
        <f>"0100000022"</f>
        <v>0100000022</v>
      </c>
      <c r="C87" s="46" t="str">
        <f>"DIPROGENTA KREMA 15 G ESS     "</f>
        <v xml:space="preserve">DIPROGENTA KREMA 15 G ESS     </v>
      </c>
      <c r="D87" s="46" t="str">
        <f>"KOM"</f>
        <v>KOM</v>
      </c>
      <c r="E87" s="46">
        <v>41</v>
      </c>
      <c r="F87" s="47"/>
      <c r="G87" s="47"/>
      <c r="H87" s="54"/>
      <c r="I87" s="48"/>
      <c r="J87" s="49"/>
      <c r="K87" s="50">
        <v>0</v>
      </c>
      <c r="L87" s="51">
        <v>0</v>
      </c>
      <c r="M87" s="50">
        <f t="shared" si="7"/>
        <v>0</v>
      </c>
      <c r="N87" s="52">
        <f t="shared" si="8"/>
        <v>0</v>
      </c>
      <c r="O87" s="53">
        <f t="shared" si="9"/>
        <v>0</v>
      </c>
    </row>
    <row r="88" spans="1:15">
      <c r="A88" s="74">
        <v>11</v>
      </c>
      <c r="B88" s="46" t="str">
        <f>"0100000147"</f>
        <v>0100000147</v>
      </c>
      <c r="C88" s="46" t="str">
        <f>"DIPROSONE KREMA 30G           "</f>
        <v xml:space="preserve">DIPROSONE KREMA 30G           </v>
      </c>
      <c r="D88" s="46" t="str">
        <f>"KOM"</f>
        <v>KOM</v>
      </c>
      <c r="E88" s="46">
        <v>1</v>
      </c>
      <c r="F88" s="47"/>
      <c r="G88" s="47"/>
      <c r="H88" s="54"/>
      <c r="I88" s="48"/>
      <c r="J88" s="49"/>
      <c r="K88" s="50">
        <v>0</v>
      </c>
      <c r="L88" s="51">
        <v>0</v>
      </c>
      <c r="M88" s="50">
        <f t="shared" si="7"/>
        <v>0</v>
      </c>
      <c r="N88" s="52">
        <f t="shared" si="8"/>
        <v>0</v>
      </c>
      <c r="O88" s="53">
        <f t="shared" si="9"/>
        <v>0</v>
      </c>
    </row>
    <row r="89" spans="1:15">
      <c r="A89" s="74">
        <v>12</v>
      </c>
      <c r="B89" s="46" t="str">
        <f>"0100000126"</f>
        <v>0100000126</v>
      </c>
      <c r="C89" s="46" t="str">
        <f>"ELOCOM - KREMA                "</f>
        <v xml:space="preserve">ELOCOM - KREMA                </v>
      </c>
      <c r="D89" s="46" t="s">
        <v>50</v>
      </c>
      <c r="E89" s="46">
        <v>9</v>
      </c>
      <c r="F89" s="47"/>
      <c r="G89" s="47"/>
      <c r="H89" s="54"/>
      <c r="I89" s="48"/>
      <c r="J89" s="49"/>
      <c r="K89" s="50">
        <v>0</v>
      </c>
      <c r="L89" s="51">
        <v>0</v>
      </c>
      <c r="M89" s="50">
        <f t="shared" si="7"/>
        <v>0</v>
      </c>
      <c r="N89" s="52">
        <f t="shared" si="8"/>
        <v>0</v>
      </c>
      <c r="O89" s="53">
        <f t="shared" si="9"/>
        <v>0</v>
      </c>
    </row>
    <row r="90" spans="1:15">
      <c r="A90" s="74">
        <v>13</v>
      </c>
      <c r="B90" s="46" t="str">
        <f>"0100000118"</f>
        <v>0100000118</v>
      </c>
      <c r="C90" s="46" t="str">
        <f>"FENISTIL GEL 30G              "</f>
        <v xml:space="preserve">FENISTIL GEL 30G              </v>
      </c>
      <c r="D90" s="46" t="str">
        <f>"KOM"</f>
        <v>KOM</v>
      </c>
      <c r="E90" s="46">
        <v>12</v>
      </c>
      <c r="F90" s="47"/>
      <c r="G90" s="47"/>
      <c r="H90" s="54"/>
      <c r="I90" s="48"/>
      <c r="J90" s="49"/>
      <c r="K90" s="50">
        <v>0</v>
      </c>
      <c r="L90" s="51">
        <v>0</v>
      </c>
      <c r="M90" s="50">
        <f t="shared" si="7"/>
        <v>0</v>
      </c>
      <c r="N90" s="52">
        <f t="shared" si="8"/>
        <v>0</v>
      </c>
      <c r="O90" s="53">
        <f t="shared" si="9"/>
        <v>0</v>
      </c>
    </row>
    <row r="91" spans="1:15">
      <c r="A91" s="74">
        <v>14</v>
      </c>
      <c r="B91" s="46" t="str">
        <f>"0100000026"</f>
        <v>0100000026</v>
      </c>
      <c r="C91" s="46" t="str">
        <f>"FUCIDIN UNG 15 G LEO          "</f>
        <v xml:space="preserve">FUCIDIN UNG 15 G LEO          </v>
      </c>
      <c r="D91" s="46" t="s">
        <v>50</v>
      </c>
      <c r="E91" s="46">
        <v>9</v>
      </c>
      <c r="F91" s="47"/>
      <c r="G91" s="47"/>
      <c r="H91" s="54"/>
      <c r="I91" s="48"/>
      <c r="J91" s="49"/>
      <c r="K91" s="50">
        <v>0</v>
      </c>
      <c r="L91" s="51">
        <v>0</v>
      </c>
      <c r="M91" s="50">
        <f t="shared" si="7"/>
        <v>0</v>
      </c>
      <c r="N91" s="52">
        <f t="shared" si="8"/>
        <v>0</v>
      </c>
      <c r="O91" s="53">
        <f t="shared" si="9"/>
        <v>0</v>
      </c>
    </row>
    <row r="92" spans="1:15">
      <c r="A92" s="74">
        <v>15</v>
      </c>
      <c r="B92" s="46" t="str">
        <f>"0100000027"</f>
        <v>0100000027</v>
      </c>
      <c r="C92" s="46" t="str">
        <f>"GARAMYCIN UNG 15 G KK         "</f>
        <v xml:space="preserve">GARAMYCIN UNG 15 G KK         </v>
      </c>
      <c r="D92" s="46" t="s">
        <v>50</v>
      </c>
      <c r="E92" s="46">
        <v>85</v>
      </c>
      <c r="F92" s="47"/>
      <c r="G92" s="47"/>
      <c r="H92" s="54"/>
      <c r="I92" s="48"/>
      <c r="J92" s="49"/>
      <c r="K92" s="50">
        <v>0</v>
      </c>
      <c r="L92" s="51">
        <v>0</v>
      </c>
      <c r="M92" s="50">
        <f t="shared" si="7"/>
        <v>0</v>
      </c>
      <c r="N92" s="52">
        <f t="shared" si="8"/>
        <v>0</v>
      </c>
      <c r="O92" s="53">
        <f t="shared" si="9"/>
        <v>0</v>
      </c>
    </row>
    <row r="93" spans="1:15">
      <c r="A93" s="74">
        <v>16</v>
      </c>
      <c r="B93" s="46" t="str">
        <f>"0100000157"</f>
        <v>0100000157</v>
      </c>
      <c r="C93" s="46" t="str">
        <f>"GENESTIN KREMA A 30ML         "</f>
        <v xml:space="preserve">GENESTIN KREMA A 30ML         </v>
      </c>
      <c r="D93" s="46" t="str">
        <f>"KOM"</f>
        <v>KOM</v>
      </c>
      <c r="E93" s="46">
        <v>1</v>
      </c>
      <c r="F93" s="47"/>
      <c r="G93" s="47"/>
      <c r="H93" s="54"/>
      <c r="I93" s="48"/>
      <c r="J93" s="49"/>
      <c r="K93" s="50">
        <v>0</v>
      </c>
      <c r="L93" s="51">
        <v>0</v>
      </c>
      <c r="M93" s="50">
        <f t="shared" si="7"/>
        <v>0</v>
      </c>
      <c r="N93" s="52">
        <f t="shared" si="8"/>
        <v>0</v>
      </c>
      <c r="O93" s="53">
        <f t="shared" si="9"/>
        <v>0</v>
      </c>
    </row>
    <row r="94" spans="1:15">
      <c r="A94" s="74">
        <v>17</v>
      </c>
      <c r="B94" s="46" t="str">
        <f>"0100000032"</f>
        <v>0100000032</v>
      </c>
      <c r="C94" s="46" t="str">
        <f>"HLADILNO MAZILO 40 G GALE     "</f>
        <v xml:space="preserve">HLADILNO MAZILO 40 G GALE     </v>
      </c>
      <c r="D94" s="46" t="s">
        <v>50</v>
      </c>
      <c r="E94" s="46">
        <v>35</v>
      </c>
      <c r="F94" s="47"/>
      <c r="G94" s="47"/>
      <c r="H94" s="54"/>
      <c r="I94" s="48"/>
      <c r="J94" s="49"/>
      <c r="K94" s="50">
        <v>0</v>
      </c>
      <c r="L94" s="51">
        <v>0</v>
      </c>
      <c r="M94" s="50">
        <f t="shared" si="7"/>
        <v>0</v>
      </c>
      <c r="N94" s="52">
        <f t="shared" si="8"/>
        <v>0</v>
      </c>
      <c r="O94" s="53">
        <f t="shared" si="9"/>
        <v>0</v>
      </c>
    </row>
    <row r="95" spans="1:15">
      <c r="A95" s="74">
        <v>18</v>
      </c>
      <c r="B95" s="46" t="str">
        <f>"0100000234"</f>
        <v>0100000234</v>
      </c>
      <c r="C95" s="46" t="str">
        <f>"OPTILUBE ACTIV GEL            "</f>
        <v xml:space="preserve">OPTILUBE ACTIV GEL            </v>
      </c>
      <c r="D95" s="46" t="str">
        <f>"KOM"</f>
        <v>KOM</v>
      </c>
      <c r="E95" s="46">
        <v>9</v>
      </c>
      <c r="F95" s="47"/>
      <c r="G95" s="47"/>
      <c r="H95" s="54"/>
      <c r="I95" s="48"/>
      <c r="J95" s="49"/>
      <c r="K95" s="50">
        <v>0</v>
      </c>
      <c r="L95" s="51">
        <v>0</v>
      </c>
      <c r="M95" s="50">
        <f t="shared" si="7"/>
        <v>0</v>
      </c>
      <c r="N95" s="52">
        <f t="shared" si="8"/>
        <v>0</v>
      </c>
      <c r="O95" s="53">
        <f t="shared" si="9"/>
        <v>0</v>
      </c>
    </row>
    <row r="96" spans="1:15">
      <c r="A96" s="74">
        <v>19</v>
      </c>
      <c r="B96" s="46" t="str">
        <f>"0202000025"</f>
        <v>0202000025</v>
      </c>
      <c r="C96" s="46" t="str">
        <f>"PRONTOSAN GEL                 "</f>
        <v xml:space="preserve">PRONTOSAN GEL                 </v>
      </c>
      <c r="D96" s="46" t="str">
        <f>"KOM"</f>
        <v>KOM</v>
      </c>
      <c r="E96" s="46">
        <v>13</v>
      </c>
      <c r="F96" s="47"/>
      <c r="G96" s="47"/>
      <c r="H96" s="54"/>
      <c r="I96" s="48"/>
      <c r="J96" s="49"/>
      <c r="K96" s="50">
        <v>0</v>
      </c>
      <c r="L96" s="51">
        <v>0</v>
      </c>
      <c r="M96" s="50">
        <f t="shared" si="7"/>
        <v>0</v>
      </c>
      <c r="N96" s="52">
        <f t="shared" si="8"/>
        <v>0</v>
      </c>
      <c r="O96" s="53">
        <f t="shared" si="9"/>
        <v>0</v>
      </c>
    </row>
    <row r="97" spans="1:15">
      <c r="A97" s="74">
        <v>20</v>
      </c>
      <c r="B97" s="46" t="str">
        <f>"0100000232"</f>
        <v>0100000232</v>
      </c>
      <c r="C97" s="46" t="str">
        <f>"RIBJE MAZILO 25G              "</f>
        <v xml:space="preserve">RIBJE MAZILO 25G              </v>
      </c>
      <c r="D97" s="46" t="str">
        <f>"KOM"</f>
        <v>KOM</v>
      </c>
      <c r="E97" s="46">
        <v>28</v>
      </c>
      <c r="F97" s="47"/>
      <c r="G97" s="47"/>
      <c r="H97" s="54"/>
      <c r="I97" s="48"/>
      <c r="J97" s="49"/>
      <c r="K97" s="50">
        <v>0</v>
      </c>
      <c r="L97" s="51">
        <v>0</v>
      </c>
      <c r="M97" s="50">
        <f t="shared" si="7"/>
        <v>0</v>
      </c>
      <c r="N97" s="52">
        <f t="shared" si="8"/>
        <v>0</v>
      </c>
      <c r="O97" s="53">
        <f t="shared" si="9"/>
        <v>0</v>
      </c>
    </row>
    <row r="98" spans="1:15">
      <c r="A98" s="74">
        <v>21</v>
      </c>
      <c r="B98" s="46" t="str">
        <f>"0100000057"</f>
        <v>0100000057</v>
      </c>
      <c r="C98" s="46" t="str">
        <f>"RIBODERMIN MAZILO 35 G        "</f>
        <v xml:space="preserve">RIBODERMIN MAZILO 35 G        </v>
      </c>
      <c r="D98" s="46" t="s">
        <v>50</v>
      </c>
      <c r="E98" s="46">
        <v>107</v>
      </c>
      <c r="F98" s="47"/>
      <c r="G98" s="47"/>
      <c r="H98" s="54"/>
      <c r="I98" s="48"/>
      <c r="J98" s="49"/>
      <c r="K98" s="50">
        <v>0</v>
      </c>
      <c r="L98" s="51">
        <v>0</v>
      </c>
      <c r="M98" s="50">
        <f t="shared" si="7"/>
        <v>0</v>
      </c>
      <c r="N98" s="52">
        <f t="shared" si="8"/>
        <v>0</v>
      </c>
      <c r="O98" s="53">
        <f t="shared" si="9"/>
        <v>0</v>
      </c>
    </row>
    <row r="99" spans="1:15">
      <c r="A99" s="74">
        <v>22</v>
      </c>
      <c r="B99" s="46" t="str">
        <f>"0100000036"</f>
        <v>0100000036</v>
      </c>
      <c r="C99" s="46" t="str">
        <f>"KUTERID KREMA 20 G LK         "</f>
        <v xml:space="preserve">KUTERID KREMA 20 G LK         </v>
      </c>
      <c r="D99" s="46" t="s">
        <v>50</v>
      </c>
      <c r="E99" s="46">
        <v>6</v>
      </c>
      <c r="F99" s="47"/>
      <c r="G99" s="47"/>
      <c r="H99" s="54"/>
      <c r="I99" s="48"/>
      <c r="J99" s="49"/>
      <c r="K99" s="50">
        <v>0</v>
      </c>
      <c r="L99" s="51">
        <v>0</v>
      </c>
      <c r="M99" s="50">
        <f t="shared" si="7"/>
        <v>0</v>
      </c>
      <c r="N99" s="52">
        <f t="shared" si="8"/>
        <v>0</v>
      </c>
      <c r="O99" s="53">
        <f t="shared" si="9"/>
        <v>0</v>
      </c>
    </row>
    <row r="100" spans="1:15">
      <c r="A100" s="74">
        <v>23</v>
      </c>
      <c r="B100" s="46" t="str">
        <f>"0200000177"</f>
        <v>0200000177</v>
      </c>
      <c r="C100" s="46" t="str">
        <f>"SCANDICAINE 30 MG/ML          "</f>
        <v xml:space="preserve">SCANDICAINE 30 MG/ML          </v>
      </c>
      <c r="D100" s="46" t="s">
        <v>50</v>
      </c>
      <c r="E100" s="46">
        <v>11</v>
      </c>
      <c r="F100" s="47"/>
      <c r="G100" s="47"/>
      <c r="H100" s="54"/>
      <c r="I100" s="48"/>
      <c r="J100" s="49"/>
      <c r="K100" s="50">
        <v>0</v>
      </c>
      <c r="L100" s="51">
        <v>0</v>
      </c>
      <c r="M100" s="50">
        <f t="shared" si="7"/>
        <v>0</v>
      </c>
      <c r="N100" s="52">
        <f t="shared" si="8"/>
        <v>0</v>
      </c>
      <c r="O100" s="53">
        <f t="shared" si="9"/>
        <v>0</v>
      </c>
    </row>
    <row r="101" spans="1:15">
      <c r="A101" s="74">
        <v>24</v>
      </c>
      <c r="B101" s="46" t="str">
        <f>"0100000130"</f>
        <v>0100000130</v>
      </c>
      <c r="C101" s="46" t="str">
        <f>"TOBREX MAZILO                 "</f>
        <v xml:space="preserve">TOBREX MAZILO                 </v>
      </c>
      <c r="D101" s="46" t="s">
        <v>50</v>
      </c>
      <c r="E101" s="46">
        <v>2</v>
      </c>
      <c r="F101" s="47"/>
      <c r="G101" s="47"/>
      <c r="H101" s="54"/>
      <c r="I101" s="48"/>
      <c r="J101" s="49"/>
      <c r="K101" s="50">
        <v>0</v>
      </c>
      <c r="L101" s="51">
        <v>0</v>
      </c>
      <c r="M101" s="50">
        <f t="shared" si="7"/>
        <v>0</v>
      </c>
      <c r="N101" s="52">
        <f t="shared" si="8"/>
        <v>0</v>
      </c>
      <c r="O101" s="53">
        <f t="shared" si="9"/>
        <v>0</v>
      </c>
    </row>
    <row r="102" spans="1:15">
      <c r="A102" s="74">
        <v>25</v>
      </c>
      <c r="B102" s="46" t="str">
        <f>"0100000064"</f>
        <v>0100000064</v>
      </c>
      <c r="C102" s="46" t="str">
        <f>"VASELINA ALBA 1.5 KG LEX      "</f>
        <v xml:space="preserve">VASELINA ALBA 1.5 KG LEX      </v>
      </c>
      <c r="D102" s="46" t="s">
        <v>50</v>
      </c>
      <c r="E102" s="46">
        <v>1</v>
      </c>
      <c r="F102" s="47"/>
      <c r="G102" s="47"/>
      <c r="H102" s="54"/>
      <c r="I102" s="48"/>
      <c r="J102" s="49"/>
      <c r="K102" s="50">
        <v>0</v>
      </c>
      <c r="L102" s="51">
        <v>0</v>
      </c>
      <c r="M102" s="50">
        <f t="shared" si="7"/>
        <v>0</v>
      </c>
      <c r="N102" s="52">
        <f t="shared" si="8"/>
        <v>0</v>
      </c>
      <c r="O102" s="53">
        <f t="shared" si="9"/>
        <v>0</v>
      </c>
    </row>
    <row r="103" spans="1:15">
      <c r="A103" s="74">
        <v>26</v>
      </c>
      <c r="B103" s="46" t="str">
        <f>"0100000188"</f>
        <v>0100000188</v>
      </c>
      <c r="C103" s="46" t="str">
        <f>"VOLTAREN EMULGEL 100 MG TUBA  "</f>
        <v xml:space="preserve">VOLTAREN EMULGEL 100 MG TUBA  </v>
      </c>
      <c r="D103" s="46" t="str">
        <f>"KOM"</f>
        <v>KOM</v>
      </c>
      <c r="E103" s="46">
        <v>10</v>
      </c>
      <c r="F103" s="47"/>
      <c r="G103" s="47"/>
      <c r="H103" s="54"/>
      <c r="I103" s="48"/>
      <c r="J103" s="49"/>
      <c r="K103" s="50">
        <v>0</v>
      </c>
      <c r="L103" s="51">
        <v>0</v>
      </c>
      <c r="M103" s="50">
        <f t="shared" si="7"/>
        <v>0</v>
      </c>
      <c r="N103" s="52">
        <f t="shared" si="8"/>
        <v>0</v>
      </c>
      <c r="O103" s="53">
        <f t="shared" si="9"/>
        <v>0</v>
      </c>
    </row>
    <row r="104" spans="1:15">
      <c r="A104" s="75">
        <v>27</v>
      </c>
      <c r="B104" s="63" t="str">
        <f>"0100000068"</f>
        <v>0100000068</v>
      </c>
      <c r="C104" s="63" t="str">
        <f>"XYLOCAIN GEL 30 ML IR - CHE   "</f>
        <v xml:space="preserve">XYLOCAIN GEL 30 ML IR - CHE   </v>
      </c>
      <c r="D104" s="63" t="s">
        <v>50</v>
      </c>
      <c r="E104" s="63">
        <v>15</v>
      </c>
      <c r="F104" s="78"/>
      <c r="G104" s="78"/>
      <c r="H104" s="66"/>
      <c r="I104" s="66"/>
      <c r="J104" s="65"/>
      <c r="K104" s="67">
        <v>0</v>
      </c>
      <c r="L104" s="68">
        <v>0</v>
      </c>
      <c r="M104" s="67">
        <f t="shared" si="7"/>
        <v>0</v>
      </c>
      <c r="N104" s="69">
        <f t="shared" si="8"/>
        <v>0</v>
      </c>
      <c r="O104" s="70">
        <f t="shared" si="9"/>
        <v>0</v>
      </c>
    </row>
    <row r="105" spans="1:15" ht="15.75">
      <c r="A105" s="120" t="s">
        <v>46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71">
        <f>SUM(N78:N104)</f>
        <v>0</v>
      </c>
      <c r="O105" s="72">
        <f>SUM(O78:O104)</f>
        <v>0</v>
      </c>
    </row>
    <row r="106" spans="1:15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80"/>
    </row>
    <row r="107" spans="1:15">
      <c r="A107" s="18"/>
      <c r="B107" s="18"/>
      <c r="C107" s="19" t="s">
        <v>47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9" t="s">
        <v>48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23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20.25">
      <c r="A110" s="121" t="s">
        <v>55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1:15" ht="64.5">
      <c r="A111" s="24" t="s">
        <v>15</v>
      </c>
      <c r="B111" s="25" t="s">
        <v>16</v>
      </c>
      <c r="C111" s="25" t="s">
        <v>17</v>
      </c>
      <c r="D111" s="25" t="s">
        <v>18</v>
      </c>
      <c r="E111" s="26" t="s">
        <v>19</v>
      </c>
      <c r="F111" s="27" t="s">
        <v>20</v>
      </c>
      <c r="G111" s="27" t="s">
        <v>21</v>
      </c>
      <c r="H111" s="27" t="s">
        <v>22</v>
      </c>
      <c r="I111" s="27" t="s">
        <v>23</v>
      </c>
      <c r="J111" s="25" t="s">
        <v>24</v>
      </c>
      <c r="K111" s="28" t="s">
        <v>25</v>
      </c>
      <c r="L111" s="25" t="s">
        <v>26</v>
      </c>
      <c r="M111" s="28" t="s">
        <v>27</v>
      </c>
      <c r="N111" s="27" t="s">
        <v>28</v>
      </c>
      <c r="O111" s="29" t="s">
        <v>29</v>
      </c>
    </row>
    <row r="112" spans="1:15">
      <c r="A112" s="30">
        <v>1</v>
      </c>
      <c r="B112" s="31">
        <v>2</v>
      </c>
      <c r="C112" s="31">
        <v>3</v>
      </c>
      <c r="D112" s="31">
        <v>4</v>
      </c>
      <c r="E112" s="32">
        <v>5</v>
      </c>
      <c r="F112" s="31">
        <v>6</v>
      </c>
      <c r="G112" s="31">
        <v>7</v>
      </c>
      <c r="H112" s="31">
        <v>8</v>
      </c>
      <c r="I112" s="31">
        <v>9</v>
      </c>
      <c r="J112" s="31">
        <v>10</v>
      </c>
      <c r="K112" s="31">
        <v>11</v>
      </c>
      <c r="L112" s="31">
        <v>12</v>
      </c>
      <c r="M112" s="31">
        <v>13</v>
      </c>
      <c r="N112" s="31">
        <v>14</v>
      </c>
      <c r="O112" s="33">
        <v>15</v>
      </c>
    </row>
    <row r="113" spans="1:15">
      <c r="A113" s="73">
        <v>1</v>
      </c>
      <c r="B113" s="36" t="str">
        <f>"0100000156"</f>
        <v>0100000156</v>
      </c>
      <c r="C113" s="36" t="str">
        <f>"ACETOCAUSTIN A 1ML            "</f>
        <v xml:space="preserve">ACETOCAUSTIN A 1ML            </v>
      </c>
      <c r="D113" s="36" t="str">
        <f>"KOM"</f>
        <v>KOM</v>
      </c>
      <c r="E113" s="36">
        <v>5</v>
      </c>
      <c r="F113" s="37"/>
      <c r="G113" s="37"/>
      <c r="H113" s="38"/>
      <c r="I113" s="38"/>
      <c r="J113" s="39"/>
      <c r="K113" s="40">
        <v>0</v>
      </c>
      <c r="L113" s="41">
        <v>0</v>
      </c>
      <c r="M113" s="40">
        <f t="shared" ref="M113:M132" si="10">+K113+L113*K113/100</f>
        <v>0</v>
      </c>
      <c r="N113" s="42">
        <f t="shared" ref="N113:N132" si="11">+K113*E113</f>
        <v>0</v>
      </c>
      <c r="O113" s="43">
        <f t="shared" ref="O113:O132" si="12">+M113*E113</f>
        <v>0</v>
      </c>
    </row>
    <row r="114" spans="1:15">
      <c r="A114" s="74">
        <v>2</v>
      </c>
      <c r="B114" s="46" t="str">
        <f>"0200000006"</f>
        <v>0200000006</v>
      </c>
      <c r="C114" s="46" t="s">
        <v>56</v>
      </c>
      <c r="D114" s="46" t="str">
        <f>"SC "</f>
        <v xml:space="preserve">SC </v>
      </c>
      <c r="E114" s="46">
        <v>11</v>
      </c>
      <c r="F114" s="47"/>
      <c r="G114" s="47"/>
      <c r="H114" s="48"/>
      <c r="I114" s="48"/>
      <c r="J114" s="49"/>
      <c r="K114" s="50">
        <v>0</v>
      </c>
      <c r="L114" s="51">
        <v>0</v>
      </c>
      <c r="M114" s="50">
        <f t="shared" si="10"/>
        <v>0</v>
      </c>
      <c r="N114" s="52">
        <f t="shared" si="11"/>
        <v>0</v>
      </c>
      <c r="O114" s="53">
        <f t="shared" si="12"/>
        <v>0</v>
      </c>
    </row>
    <row r="115" spans="1:15">
      <c r="A115" s="74">
        <v>3</v>
      </c>
      <c r="B115" s="46" t="str">
        <f>"0100000184"</f>
        <v>0100000184</v>
      </c>
      <c r="C115" s="46" t="str">
        <f>"CHLORHEXIDINE GLUCONATE ZA    "</f>
        <v xml:space="preserve">CHLORHEXIDINE GLUCONATE ZA    </v>
      </c>
      <c r="D115" s="46" t="str">
        <f>"KOM"</f>
        <v>KOM</v>
      </c>
      <c r="E115" s="46">
        <v>4</v>
      </c>
      <c r="F115" s="47"/>
      <c r="G115" s="47"/>
      <c r="H115" s="48"/>
      <c r="I115" s="48"/>
      <c r="J115" s="49"/>
      <c r="K115" s="50">
        <v>0</v>
      </c>
      <c r="L115" s="51">
        <v>0</v>
      </c>
      <c r="M115" s="50">
        <f t="shared" si="10"/>
        <v>0</v>
      </c>
      <c r="N115" s="52">
        <f t="shared" si="11"/>
        <v>0</v>
      </c>
      <c r="O115" s="53">
        <f t="shared" si="12"/>
        <v>0</v>
      </c>
    </row>
    <row r="116" spans="1:15">
      <c r="A116" s="74">
        <v>4</v>
      </c>
      <c r="B116" s="46"/>
      <c r="C116" s="46" t="s">
        <v>57</v>
      </c>
      <c r="D116" s="46" t="s">
        <v>34</v>
      </c>
      <c r="E116" s="46">
        <v>2</v>
      </c>
      <c r="F116" s="47"/>
      <c r="G116" s="47"/>
      <c r="H116" s="48"/>
      <c r="I116" s="48"/>
      <c r="J116" s="49"/>
      <c r="K116" s="50">
        <v>0</v>
      </c>
      <c r="L116" s="51">
        <v>0</v>
      </c>
      <c r="M116" s="50">
        <f t="shared" si="10"/>
        <v>0</v>
      </c>
      <c r="N116" s="52">
        <f t="shared" si="11"/>
        <v>0</v>
      </c>
      <c r="O116" s="53">
        <f t="shared" si="12"/>
        <v>0</v>
      </c>
    </row>
    <row r="117" spans="1:15">
      <c r="A117" s="74">
        <v>5</v>
      </c>
      <c r="B117" s="46"/>
      <c r="C117" s="46" t="s">
        <v>58</v>
      </c>
      <c r="D117" s="46" t="s">
        <v>34</v>
      </c>
      <c r="E117" s="46">
        <v>2</v>
      </c>
      <c r="F117" s="47"/>
      <c r="G117" s="47"/>
      <c r="H117" s="48"/>
      <c r="I117" s="48"/>
      <c r="J117" s="49"/>
      <c r="K117" s="50">
        <v>0</v>
      </c>
      <c r="L117" s="51">
        <v>0</v>
      </c>
      <c r="M117" s="50">
        <f t="shared" si="10"/>
        <v>0</v>
      </c>
      <c r="N117" s="52">
        <f t="shared" si="11"/>
        <v>0</v>
      </c>
      <c r="O117" s="53">
        <f t="shared" si="12"/>
        <v>0</v>
      </c>
    </row>
    <row r="118" spans="1:15">
      <c r="A118" s="74">
        <v>6</v>
      </c>
      <c r="B118" s="46" t="str">
        <f>"0100000128"</f>
        <v>0100000128</v>
      </c>
      <c r="C118" s="46" t="str">
        <f>"EVKALIPTUSOVO OLJE A 1 DCL    "</f>
        <v xml:space="preserve">EVKALIPTUSOVO OLJE A 1 DCL    </v>
      </c>
      <c r="D118" s="46" t="str">
        <f>"KOM"</f>
        <v>KOM</v>
      </c>
      <c r="E118" s="46">
        <v>2</v>
      </c>
      <c r="F118" s="47"/>
      <c r="G118" s="47"/>
      <c r="H118" s="48"/>
      <c r="I118" s="48"/>
      <c r="J118" s="49"/>
      <c r="K118" s="50">
        <v>0</v>
      </c>
      <c r="L118" s="51">
        <v>0</v>
      </c>
      <c r="M118" s="50">
        <f t="shared" si="10"/>
        <v>0</v>
      </c>
      <c r="N118" s="52">
        <f t="shared" si="11"/>
        <v>0</v>
      </c>
      <c r="O118" s="53">
        <f t="shared" si="12"/>
        <v>0</v>
      </c>
    </row>
    <row r="119" spans="1:15">
      <c r="A119" s="74">
        <v>7</v>
      </c>
      <c r="B119" s="46" t="str">
        <f>"0100000080"</f>
        <v>0100000080</v>
      </c>
      <c r="C119" s="46" t="s">
        <v>59</v>
      </c>
      <c r="D119" s="46" t="str">
        <f>"SC "</f>
        <v xml:space="preserve">SC </v>
      </c>
      <c r="E119" s="46">
        <v>57</v>
      </c>
      <c r="F119" s="47"/>
      <c r="G119" s="47"/>
      <c r="H119" s="54"/>
      <c r="I119" s="48"/>
      <c r="J119" s="49"/>
      <c r="K119" s="50">
        <v>0</v>
      </c>
      <c r="L119" s="51">
        <v>0</v>
      </c>
      <c r="M119" s="50">
        <f t="shared" si="10"/>
        <v>0</v>
      </c>
      <c r="N119" s="52">
        <f t="shared" si="11"/>
        <v>0</v>
      </c>
      <c r="O119" s="53">
        <f t="shared" si="12"/>
        <v>0</v>
      </c>
    </row>
    <row r="120" spans="1:15">
      <c r="A120" s="74">
        <v>8</v>
      </c>
      <c r="B120" s="46" t="str">
        <f>"0100000070"</f>
        <v>0100000070</v>
      </c>
      <c r="C120" s="46" t="s">
        <v>60</v>
      </c>
      <c r="D120" s="46" t="str">
        <f t="shared" ref="D120:D130" si="13">"KOM"</f>
        <v>KOM</v>
      </c>
      <c r="E120" s="46">
        <v>3333</v>
      </c>
      <c r="F120" s="47"/>
      <c r="G120" s="47"/>
      <c r="H120" s="54"/>
      <c r="I120" s="48"/>
      <c r="J120" s="49"/>
      <c r="K120" s="50">
        <v>0</v>
      </c>
      <c r="L120" s="51">
        <v>0</v>
      </c>
      <c r="M120" s="50">
        <f t="shared" si="10"/>
        <v>0</v>
      </c>
      <c r="N120" s="52">
        <f t="shared" si="11"/>
        <v>0</v>
      </c>
      <c r="O120" s="53">
        <f t="shared" si="12"/>
        <v>0</v>
      </c>
    </row>
    <row r="121" spans="1:15">
      <c r="A121" s="74">
        <v>9</v>
      </c>
      <c r="B121" s="46" t="str">
        <f>"0100000071"</f>
        <v>0100000071</v>
      </c>
      <c r="C121" s="46" t="s">
        <v>61</v>
      </c>
      <c r="D121" s="46" t="str">
        <f t="shared" si="13"/>
        <v>KOM</v>
      </c>
      <c r="E121" s="46">
        <v>570</v>
      </c>
      <c r="F121" s="47"/>
      <c r="G121" s="47"/>
      <c r="H121" s="54"/>
      <c r="I121" s="48"/>
      <c r="J121" s="49"/>
      <c r="K121" s="50">
        <v>0</v>
      </c>
      <c r="L121" s="51">
        <v>0</v>
      </c>
      <c r="M121" s="50">
        <f t="shared" si="10"/>
        <v>0</v>
      </c>
      <c r="N121" s="52">
        <f t="shared" si="11"/>
        <v>0</v>
      </c>
      <c r="O121" s="53">
        <f t="shared" si="12"/>
        <v>0</v>
      </c>
    </row>
    <row r="122" spans="1:15">
      <c r="A122" s="74">
        <v>10</v>
      </c>
      <c r="B122" s="46" t="str">
        <f>"0100000072"</f>
        <v>0100000072</v>
      </c>
      <c r="C122" s="46" t="str">
        <f>"FIZIOLOŠKA RAZTOPINA ZA I.V 500 ML  "</f>
        <v xml:space="preserve">FIZIOLOŠKA RAZTOPINA ZA I.V 500 ML  </v>
      </c>
      <c r="D122" s="46" t="str">
        <f t="shared" si="13"/>
        <v>KOM</v>
      </c>
      <c r="E122" s="46">
        <v>326</v>
      </c>
      <c r="F122" s="47"/>
      <c r="G122" s="47"/>
      <c r="H122" s="54"/>
      <c r="I122" s="48"/>
      <c r="J122" s="49"/>
      <c r="K122" s="50">
        <v>0</v>
      </c>
      <c r="L122" s="51">
        <v>0</v>
      </c>
      <c r="M122" s="50">
        <f t="shared" si="10"/>
        <v>0</v>
      </c>
      <c r="N122" s="52">
        <f t="shared" si="11"/>
        <v>0</v>
      </c>
      <c r="O122" s="53">
        <f t="shared" si="12"/>
        <v>0</v>
      </c>
    </row>
    <row r="123" spans="1:15">
      <c r="A123" s="74">
        <v>11</v>
      </c>
      <c r="B123" s="46"/>
      <c r="C123" s="46" t="s">
        <v>62</v>
      </c>
      <c r="D123" s="46" t="str">
        <f t="shared" si="13"/>
        <v>KOM</v>
      </c>
      <c r="E123" s="46">
        <v>20</v>
      </c>
      <c r="F123" s="47"/>
      <c r="G123" s="47"/>
      <c r="H123" s="54"/>
      <c r="I123" s="48"/>
      <c r="J123" s="49"/>
      <c r="K123" s="50">
        <v>0</v>
      </c>
      <c r="L123" s="51">
        <v>0</v>
      </c>
      <c r="M123" s="50">
        <f t="shared" si="10"/>
        <v>0</v>
      </c>
      <c r="N123" s="52">
        <f t="shared" si="11"/>
        <v>0</v>
      </c>
      <c r="O123" s="53">
        <f t="shared" si="12"/>
        <v>0</v>
      </c>
    </row>
    <row r="124" spans="1:15">
      <c r="A124" s="74">
        <v>12</v>
      </c>
      <c r="B124" s="46" t="str">
        <f>"0100000073"</f>
        <v>0100000073</v>
      </c>
      <c r="C124" s="46" t="s">
        <v>63</v>
      </c>
      <c r="D124" s="46" t="str">
        <f t="shared" si="13"/>
        <v>KOM</v>
      </c>
      <c r="E124" s="46">
        <v>25</v>
      </c>
      <c r="F124" s="47"/>
      <c r="G124" s="47"/>
      <c r="H124" s="54"/>
      <c r="I124" s="48"/>
      <c r="J124" s="49"/>
      <c r="K124" s="50">
        <v>0</v>
      </c>
      <c r="L124" s="51">
        <v>0</v>
      </c>
      <c r="M124" s="50">
        <f t="shared" si="10"/>
        <v>0</v>
      </c>
      <c r="N124" s="52">
        <f t="shared" si="11"/>
        <v>0</v>
      </c>
      <c r="O124" s="53">
        <f t="shared" si="12"/>
        <v>0</v>
      </c>
    </row>
    <row r="125" spans="1:15">
      <c r="A125" s="74">
        <v>13</v>
      </c>
      <c r="B125" s="46" t="str">
        <f>"0100000030"</f>
        <v>0100000030</v>
      </c>
      <c r="C125" s="46" t="s">
        <v>64</v>
      </c>
      <c r="D125" s="46" t="str">
        <f t="shared" si="13"/>
        <v>KOM</v>
      </c>
      <c r="E125" s="46">
        <v>45</v>
      </c>
      <c r="F125" s="47"/>
      <c r="G125" s="47"/>
      <c r="H125" s="54"/>
      <c r="I125" s="48"/>
      <c r="J125" s="49"/>
      <c r="K125" s="50">
        <v>0</v>
      </c>
      <c r="L125" s="51">
        <v>0</v>
      </c>
      <c r="M125" s="50">
        <f t="shared" si="10"/>
        <v>0</v>
      </c>
      <c r="N125" s="52">
        <f t="shared" si="11"/>
        <v>0</v>
      </c>
      <c r="O125" s="53">
        <f t="shared" si="12"/>
        <v>0</v>
      </c>
    </row>
    <row r="126" spans="1:15">
      <c r="A126" s="74">
        <v>14</v>
      </c>
      <c r="B126" s="46" t="str">
        <f>"0200000068"</f>
        <v>0200000068</v>
      </c>
      <c r="C126" s="46" t="s">
        <v>65</v>
      </c>
      <c r="D126" s="46" t="str">
        <f t="shared" si="13"/>
        <v>KOM</v>
      </c>
      <c r="E126" s="46">
        <v>14</v>
      </c>
      <c r="F126" s="47"/>
      <c r="G126" s="47"/>
      <c r="H126" s="54"/>
      <c r="I126" s="48"/>
      <c r="J126" s="49"/>
      <c r="K126" s="50">
        <v>0</v>
      </c>
      <c r="L126" s="51">
        <v>0</v>
      </c>
      <c r="M126" s="50">
        <f t="shared" si="10"/>
        <v>0</v>
      </c>
      <c r="N126" s="52">
        <f t="shared" si="11"/>
        <v>0</v>
      </c>
      <c r="O126" s="53">
        <f t="shared" si="12"/>
        <v>0</v>
      </c>
    </row>
    <row r="127" spans="1:15">
      <c r="A127" s="74">
        <v>15</v>
      </c>
      <c r="B127" s="46" t="str">
        <f>"0100000150"</f>
        <v>0100000150</v>
      </c>
      <c r="C127" s="46" t="str">
        <f>"GLUCOSA 50% 20ML              "</f>
        <v xml:space="preserve">GLUCOSA 50% 20ML              </v>
      </c>
      <c r="D127" s="46" t="str">
        <f t="shared" si="13"/>
        <v>KOM</v>
      </c>
      <c r="E127" s="46">
        <v>20</v>
      </c>
      <c r="F127" s="47"/>
      <c r="G127" s="47"/>
      <c r="H127" s="54"/>
      <c r="I127" s="48"/>
      <c r="J127" s="49"/>
      <c r="K127" s="50">
        <v>0</v>
      </c>
      <c r="L127" s="51">
        <v>0</v>
      </c>
      <c r="M127" s="50">
        <f t="shared" si="10"/>
        <v>0</v>
      </c>
      <c r="N127" s="52">
        <f t="shared" si="11"/>
        <v>0</v>
      </c>
      <c r="O127" s="53">
        <f t="shared" si="12"/>
        <v>0</v>
      </c>
    </row>
    <row r="128" spans="1:15">
      <c r="A128" s="74">
        <v>16</v>
      </c>
      <c r="B128" s="46" t="str">
        <f>"0100000230"</f>
        <v>0100000230</v>
      </c>
      <c r="C128" s="46" t="str">
        <f>"PENTHROX 99,9% 3ML            "</f>
        <v xml:space="preserve">PENTHROX 99,9% 3ML            </v>
      </c>
      <c r="D128" s="46" t="str">
        <f t="shared" si="13"/>
        <v>KOM</v>
      </c>
      <c r="E128" s="46">
        <v>28</v>
      </c>
      <c r="F128" s="47"/>
      <c r="G128" s="47"/>
      <c r="H128" s="54"/>
      <c r="I128" s="48"/>
      <c r="J128" s="49"/>
      <c r="K128" s="50">
        <v>0</v>
      </c>
      <c r="L128" s="51">
        <v>0</v>
      </c>
      <c r="M128" s="50">
        <f t="shared" si="10"/>
        <v>0</v>
      </c>
      <c r="N128" s="52">
        <f t="shared" si="11"/>
        <v>0</v>
      </c>
      <c r="O128" s="53">
        <f t="shared" si="12"/>
        <v>0</v>
      </c>
    </row>
    <row r="129" spans="1:15">
      <c r="A129" s="74">
        <v>17</v>
      </c>
      <c r="B129" s="46" t="str">
        <f>"0100000058"</f>
        <v>0100000058</v>
      </c>
      <c r="C129" s="46" t="str">
        <f>"RINGER 500 ML KK              "</f>
        <v xml:space="preserve">RINGER 500 ML KK              </v>
      </c>
      <c r="D129" s="46" t="str">
        <f t="shared" si="13"/>
        <v>KOM</v>
      </c>
      <c r="E129" s="46">
        <v>15</v>
      </c>
      <c r="F129" s="47"/>
      <c r="G129" s="47"/>
      <c r="H129" s="54"/>
      <c r="I129" s="48"/>
      <c r="J129" s="49"/>
      <c r="K129" s="50">
        <v>0</v>
      </c>
      <c r="L129" s="51">
        <v>0</v>
      </c>
      <c r="M129" s="50">
        <f t="shared" si="10"/>
        <v>0</v>
      </c>
      <c r="N129" s="52">
        <f t="shared" si="11"/>
        <v>0</v>
      </c>
      <c r="O129" s="53">
        <f t="shared" si="12"/>
        <v>0</v>
      </c>
    </row>
    <row r="130" spans="1:15">
      <c r="A130" s="74">
        <v>18</v>
      </c>
      <c r="B130" s="46" t="str">
        <f>"0200000143"</f>
        <v>0200000143</v>
      </c>
      <c r="C130" s="46" t="str">
        <f>"SOFTASEPT 250 ML              "</f>
        <v xml:space="preserve">SOFTASEPT 250 ML              </v>
      </c>
      <c r="D130" s="46" t="str">
        <f t="shared" si="13"/>
        <v>KOM</v>
      </c>
      <c r="E130" s="46">
        <v>2</v>
      </c>
      <c r="F130" s="47"/>
      <c r="G130" s="47"/>
      <c r="H130" s="54"/>
      <c r="I130" s="48"/>
      <c r="J130" s="49"/>
      <c r="K130" s="50">
        <v>0</v>
      </c>
      <c r="L130" s="51">
        <v>0</v>
      </c>
      <c r="M130" s="50">
        <f t="shared" si="10"/>
        <v>0</v>
      </c>
      <c r="N130" s="52">
        <f t="shared" si="11"/>
        <v>0</v>
      </c>
      <c r="O130" s="53">
        <f t="shared" si="12"/>
        <v>0</v>
      </c>
    </row>
    <row r="131" spans="1:15">
      <c r="A131" s="74">
        <v>19</v>
      </c>
      <c r="B131" s="46"/>
      <c r="C131" s="46" t="s">
        <v>66</v>
      </c>
      <c r="D131" s="46" t="s">
        <v>34</v>
      </c>
      <c r="E131" s="46">
        <v>5</v>
      </c>
      <c r="F131" s="47"/>
      <c r="G131" s="47"/>
      <c r="H131" s="54"/>
      <c r="I131" s="48"/>
      <c r="J131" s="49"/>
      <c r="K131" s="50">
        <v>0</v>
      </c>
      <c r="L131" s="51">
        <v>0</v>
      </c>
      <c r="M131" s="50">
        <f t="shared" si="10"/>
        <v>0</v>
      </c>
      <c r="N131" s="52">
        <f t="shared" si="11"/>
        <v>0</v>
      </c>
      <c r="O131" s="53">
        <f t="shared" si="12"/>
        <v>0</v>
      </c>
    </row>
    <row r="132" spans="1:15">
      <c r="A132" s="75">
        <v>20</v>
      </c>
      <c r="B132" s="63" t="str">
        <f>"0100000137"</f>
        <v>0100000137</v>
      </c>
      <c r="C132" s="63" t="s">
        <v>67</v>
      </c>
      <c r="D132" s="63" t="s">
        <v>34</v>
      </c>
      <c r="E132" s="63">
        <v>2</v>
      </c>
      <c r="F132" s="78"/>
      <c r="G132" s="78"/>
      <c r="H132" s="81"/>
      <c r="I132" s="66"/>
      <c r="J132" s="65"/>
      <c r="K132" s="67">
        <v>0</v>
      </c>
      <c r="L132" s="68">
        <v>0</v>
      </c>
      <c r="M132" s="67">
        <f t="shared" si="10"/>
        <v>0</v>
      </c>
      <c r="N132" s="69">
        <f t="shared" si="11"/>
        <v>0</v>
      </c>
      <c r="O132" s="70">
        <f t="shared" si="12"/>
        <v>0</v>
      </c>
    </row>
    <row r="133" spans="1:15" ht="15.75">
      <c r="A133" s="120" t="s">
        <v>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71">
        <f>SUM(N113:N132)</f>
        <v>0</v>
      </c>
      <c r="O133" s="72">
        <f>SUM(O113:O132)</f>
        <v>0</v>
      </c>
    </row>
    <row r="134" spans="1:15" ht="15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80"/>
      <c r="O134" s="80"/>
    </row>
    <row r="135" spans="1:15">
      <c r="A135" s="18"/>
      <c r="B135" s="18"/>
      <c r="C135" s="19" t="s">
        <v>47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9" t="s">
        <v>48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20.25">
      <c r="A138" s="121" t="s">
        <v>68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1:15" ht="64.5">
      <c r="A139" s="24" t="s">
        <v>15</v>
      </c>
      <c r="B139" s="25" t="s">
        <v>16</v>
      </c>
      <c r="C139" s="25" t="s">
        <v>17</v>
      </c>
      <c r="D139" s="25" t="s">
        <v>18</v>
      </c>
      <c r="E139" s="26" t="s">
        <v>19</v>
      </c>
      <c r="F139" s="27" t="s">
        <v>20</v>
      </c>
      <c r="G139" s="27" t="s">
        <v>21</v>
      </c>
      <c r="H139" s="27" t="s">
        <v>22</v>
      </c>
      <c r="I139" s="27" t="s">
        <v>23</v>
      </c>
      <c r="J139" s="25" t="s">
        <v>24</v>
      </c>
      <c r="K139" s="28" t="s">
        <v>25</v>
      </c>
      <c r="L139" s="25" t="s">
        <v>26</v>
      </c>
      <c r="M139" s="28" t="s">
        <v>27</v>
      </c>
      <c r="N139" s="27" t="s">
        <v>28</v>
      </c>
      <c r="O139" s="29" t="s">
        <v>29</v>
      </c>
    </row>
    <row r="140" spans="1:15">
      <c r="A140" s="30">
        <v>1</v>
      </c>
      <c r="B140" s="31">
        <v>2</v>
      </c>
      <c r="C140" s="31">
        <v>3</v>
      </c>
      <c r="D140" s="31">
        <v>4</v>
      </c>
      <c r="E140" s="32">
        <v>5</v>
      </c>
      <c r="F140" s="31">
        <v>6</v>
      </c>
      <c r="G140" s="31">
        <v>7</v>
      </c>
      <c r="H140" s="31">
        <v>8</v>
      </c>
      <c r="I140" s="31">
        <v>9</v>
      </c>
      <c r="J140" s="31">
        <v>10</v>
      </c>
      <c r="K140" s="31">
        <v>11</v>
      </c>
      <c r="L140" s="31">
        <v>12</v>
      </c>
      <c r="M140" s="31">
        <v>13</v>
      </c>
      <c r="N140" s="31">
        <v>14</v>
      </c>
      <c r="O140" s="33">
        <v>15</v>
      </c>
    </row>
    <row r="141" spans="1:15">
      <c r="A141" s="73">
        <v>1</v>
      </c>
      <c r="B141" s="36" t="str">
        <f>"0100000144"</f>
        <v>0100000144</v>
      </c>
      <c r="C141" s="36" t="str">
        <f>"BRAUNOL SPRAY -POVIDON JOD    "</f>
        <v xml:space="preserve">BRAUNOL SPRAY -POVIDON JOD    </v>
      </c>
      <c r="D141" s="36" t="str">
        <f>"KOM"</f>
        <v>KOM</v>
      </c>
      <c r="E141" s="36">
        <v>15</v>
      </c>
      <c r="F141" s="37"/>
      <c r="G141" s="37"/>
      <c r="H141" s="38"/>
      <c r="I141" s="38"/>
      <c r="J141" s="39"/>
      <c r="K141" s="40">
        <v>0</v>
      </c>
      <c r="L141" s="41">
        <v>0</v>
      </c>
      <c r="M141" s="40">
        <f t="shared" ref="M141:M152" si="14">+K141+L141*K141/100</f>
        <v>0</v>
      </c>
      <c r="N141" s="42">
        <f t="shared" ref="N141:N152" si="15">+K141*E141</f>
        <v>0</v>
      </c>
      <c r="O141" s="43">
        <f t="shared" ref="O141:O152" si="16">+M141*E141</f>
        <v>0</v>
      </c>
    </row>
    <row r="142" spans="1:15">
      <c r="A142" s="74">
        <v>2</v>
      </c>
      <c r="B142" s="46" t="str">
        <f>"0100000143"</f>
        <v>0100000143</v>
      </c>
      <c r="C142" s="46" t="str">
        <f>"CICATRIDINA DERM PRŠILO       "</f>
        <v xml:space="preserve">CICATRIDINA DERM PRŠILO       </v>
      </c>
      <c r="D142" s="46" t="str">
        <f>"KOM"</f>
        <v>KOM</v>
      </c>
      <c r="E142" s="46">
        <v>8</v>
      </c>
      <c r="F142" s="47"/>
      <c r="G142" s="47"/>
      <c r="H142" s="48"/>
      <c r="I142" s="48"/>
      <c r="J142" s="49"/>
      <c r="K142" s="50">
        <v>0</v>
      </c>
      <c r="L142" s="51">
        <v>0</v>
      </c>
      <c r="M142" s="50">
        <f t="shared" si="14"/>
        <v>0</v>
      </c>
      <c r="N142" s="52">
        <f t="shared" si="15"/>
        <v>0</v>
      </c>
      <c r="O142" s="53">
        <f t="shared" si="16"/>
        <v>0</v>
      </c>
    </row>
    <row r="143" spans="1:15">
      <c r="A143" s="74">
        <v>3</v>
      </c>
      <c r="B143" s="46" t="str">
        <f>"0100000219"</f>
        <v>0100000219</v>
      </c>
      <c r="C143" s="46" t="str">
        <f>"FLIXOTIDE 125MG INHALACIJSKI  "</f>
        <v xml:space="preserve">FLIXOTIDE 125MG INHALACIJSKI  </v>
      </c>
      <c r="D143" s="46" t="s">
        <v>50</v>
      </c>
      <c r="E143" s="46">
        <v>1</v>
      </c>
      <c r="F143" s="47"/>
      <c r="G143" s="47"/>
      <c r="H143" s="48"/>
      <c r="I143" s="48"/>
      <c r="J143" s="49"/>
      <c r="K143" s="50">
        <v>0</v>
      </c>
      <c r="L143" s="51">
        <v>0</v>
      </c>
      <c r="M143" s="50">
        <f t="shared" si="14"/>
        <v>0</v>
      </c>
      <c r="N143" s="52">
        <f t="shared" si="15"/>
        <v>0</v>
      </c>
      <c r="O143" s="53">
        <f t="shared" si="16"/>
        <v>0</v>
      </c>
    </row>
    <row r="144" spans="1:15">
      <c r="A144" s="74">
        <v>4</v>
      </c>
      <c r="B144" s="46" t="str">
        <f>"0100000106"</f>
        <v>0100000106</v>
      </c>
      <c r="C144" s="46" t="str">
        <f>"HISTOFREEZER 40 5 MM          "</f>
        <v xml:space="preserve">HISTOFREEZER 40 5 MM          </v>
      </c>
      <c r="D144" s="46" t="str">
        <f>"KOM"</f>
        <v>KOM</v>
      </c>
      <c r="E144" s="46">
        <v>4</v>
      </c>
      <c r="F144" s="47"/>
      <c r="G144" s="47"/>
      <c r="H144" s="48"/>
      <c r="I144" s="48"/>
      <c r="J144" s="49"/>
      <c r="K144" s="50">
        <v>0</v>
      </c>
      <c r="L144" s="51">
        <v>0</v>
      </c>
      <c r="M144" s="50">
        <f t="shared" si="14"/>
        <v>0</v>
      </c>
      <c r="N144" s="52">
        <f t="shared" si="15"/>
        <v>0</v>
      </c>
      <c r="O144" s="53">
        <f t="shared" si="16"/>
        <v>0</v>
      </c>
    </row>
    <row r="145" spans="1:15">
      <c r="A145" s="74">
        <v>5</v>
      </c>
      <c r="B145" s="46" t="str">
        <f>"0100000200"</f>
        <v>0100000200</v>
      </c>
      <c r="C145" s="46" t="str">
        <f>"ICE POWER SPRAY A200 ML       "</f>
        <v xml:space="preserve">ICE POWER SPRAY A200 ML       </v>
      </c>
      <c r="D145" s="46" t="str">
        <f>"KOM"</f>
        <v>KOM</v>
      </c>
      <c r="E145" s="46">
        <v>7</v>
      </c>
      <c r="F145" s="47"/>
      <c r="G145" s="47"/>
      <c r="H145" s="48"/>
      <c r="I145" s="48"/>
      <c r="J145" s="49"/>
      <c r="K145" s="50">
        <v>0</v>
      </c>
      <c r="L145" s="51">
        <v>0</v>
      </c>
      <c r="M145" s="50">
        <f t="shared" si="14"/>
        <v>0</v>
      </c>
      <c r="N145" s="52">
        <f t="shared" si="15"/>
        <v>0</v>
      </c>
      <c r="O145" s="53">
        <f t="shared" si="16"/>
        <v>0</v>
      </c>
    </row>
    <row r="146" spans="1:15">
      <c r="A146" s="74">
        <v>6</v>
      </c>
      <c r="B146" s="46" t="str">
        <f>"0100000161"</f>
        <v>0100000161</v>
      </c>
      <c r="C146" s="46" t="str">
        <f>"NASONEX SPREJ                 "</f>
        <v xml:space="preserve">NASONEX SPREJ                 </v>
      </c>
      <c r="D146" s="46" t="str">
        <f>"KOM"</f>
        <v>KOM</v>
      </c>
      <c r="E146" s="46">
        <v>1</v>
      </c>
      <c r="F146" s="47"/>
      <c r="G146" s="47"/>
      <c r="H146" s="48"/>
      <c r="I146" s="48"/>
      <c r="J146" s="49"/>
      <c r="K146" s="50">
        <v>0</v>
      </c>
      <c r="L146" s="51">
        <v>0</v>
      </c>
      <c r="M146" s="50">
        <f t="shared" si="14"/>
        <v>0</v>
      </c>
      <c r="N146" s="52">
        <f t="shared" si="15"/>
        <v>0</v>
      </c>
      <c r="O146" s="53">
        <f t="shared" si="16"/>
        <v>0</v>
      </c>
    </row>
    <row r="147" spans="1:15">
      <c r="A147" s="74">
        <v>7</v>
      </c>
      <c r="B147" s="46" t="str">
        <f>"0100000048"</f>
        <v>0100000048</v>
      </c>
      <c r="C147" s="46" t="str">
        <f>"NITROLINGUAL PRŠILO 12,2 ML   "</f>
        <v xml:space="preserve">NITROLINGUAL PRŠILO 12,2 ML   </v>
      </c>
      <c r="D147" s="46" t="s">
        <v>50</v>
      </c>
      <c r="E147" s="46">
        <v>8</v>
      </c>
      <c r="F147" s="47"/>
      <c r="G147" s="47"/>
      <c r="H147" s="54"/>
      <c r="I147" s="48"/>
      <c r="J147" s="49"/>
      <c r="K147" s="50">
        <v>0</v>
      </c>
      <c r="L147" s="51">
        <v>0</v>
      </c>
      <c r="M147" s="50">
        <f t="shared" si="14"/>
        <v>0</v>
      </c>
      <c r="N147" s="52">
        <f t="shared" si="15"/>
        <v>0</v>
      </c>
      <c r="O147" s="53">
        <f t="shared" si="16"/>
        <v>0</v>
      </c>
    </row>
    <row r="148" spans="1:15">
      <c r="A148" s="74">
        <v>8</v>
      </c>
      <c r="B148" s="46" t="str">
        <f>"0100000153"</f>
        <v>0100000153</v>
      </c>
      <c r="C148" s="46" t="str">
        <f>"OFENOSEPT 250 ML              "</f>
        <v xml:space="preserve">OFENOSEPT 250 ML              </v>
      </c>
      <c r="D148" s="46" t="str">
        <f>"KOM"</f>
        <v>KOM</v>
      </c>
      <c r="E148" s="46">
        <v>53</v>
      </c>
      <c r="F148" s="47"/>
      <c r="G148" s="47"/>
      <c r="H148" s="54"/>
      <c r="I148" s="48"/>
      <c r="J148" s="49"/>
      <c r="K148" s="50">
        <v>0</v>
      </c>
      <c r="L148" s="51">
        <v>0</v>
      </c>
      <c r="M148" s="50">
        <f t="shared" si="14"/>
        <v>0</v>
      </c>
      <c r="N148" s="52">
        <f t="shared" si="15"/>
        <v>0</v>
      </c>
      <c r="O148" s="53">
        <f t="shared" si="16"/>
        <v>0</v>
      </c>
    </row>
    <row r="149" spans="1:15">
      <c r="A149" s="74">
        <v>9</v>
      </c>
      <c r="B149" s="46" t="str">
        <f>"0100000223"</f>
        <v>0100000223</v>
      </c>
      <c r="C149" s="46" t="str">
        <f>"SEPTANESTEPI 40 1,7ML         "</f>
        <v xml:space="preserve">SEPTANESTEPI 40 1,7ML         </v>
      </c>
      <c r="D149" s="46" t="str">
        <f>"KOM"</f>
        <v>KOM</v>
      </c>
      <c r="E149" s="46">
        <v>24</v>
      </c>
      <c r="F149" s="47"/>
      <c r="G149" s="47"/>
      <c r="H149" s="54"/>
      <c r="I149" s="48"/>
      <c r="J149" s="49"/>
      <c r="K149" s="50">
        <v>0</v>
      </c>
      <c r="L149" s="51">
        <v>0</v>
      </c>
      <c r="M149" s="50">
        <f t="shared" si="14"/>
        <v>0</v>
      </c>
      <c r="N149" s="52">
        <f t="shared" si="15"/>
        <v>0</v>
      </c>
      <c r="O149" s="53">
        <f t="shared" si="16"/>
        <v>0</v>
      </c>
    </row>
    <row r="150" spans="1:15">
      <c r="A150" s="74">
        <v>10</v>
      </c>
      <c r="B150" s="46" t="str">
        <f>"0100000197"</f>
        <v>0100000197</v>
      </c>
      <c r="C150" s="46" t="str">
        <f>"VAXOL - PRŠILO ZA UHO A10 ML  "</f>
        <v xml:space="preserve">VAXOL - PRŠILO ZA UHO A10 ML  </v>
      </c>
      <c r="D150" s="46" t="str">
        <f>"KOM"</f>
        <v>KOM</v>
      </c>
      <c r="E150" s="46">
        <v>3</v>
      </c>
      <c r="F150" s="47"/>
      <c r="G150" s="47"/>
      <c r="H150" s="54"/>
      <c r="I150" s="48"/>
      <c r="J150" s="49"/>
      <c r="K150" s="50">
        <v>0</v>
      </c>
      <c r="L150" s="51">
        <v>0</v>
      </c>
      <c r="M150" s="50">
        <f t="shared" si="14"/>
        <v>0</v>
      </c>
      <c r="N150" s="52">
        <f t="shared" si="15"/>
        <v>0</v>
      </c>
      <c r="O150" s="53">
        <f t="shared" si="16"/>
        <v>0</v>
      </c>
    </row>
    <row r="151" spans="1:15">
      <c r="A151" s="74">
        <v>11</v>
      </c>
      <c r="B151" s="46" t="str">
        <f>"0100000065"</f>
        <v>0100000065</v>
      </c>
      <c r="C151" s="46" t="str">
        <f>"VENTOLIN SPRAY 200 ML         "</f>
        <v xml:space="preserve">VENTOLIN SPRAY 200 ML         </v>
      </c>
      <c r="D151" s="46" t="s">
        <v>50</v>
      </c>
      <c r="E151" s="46">
        <v>7</v>
      </c>
      <c r="F151" s="47"/>
      <c r="G151" s="47"/>
      <c r="H151" s="54"/>
      <c r="I151" s="48"/>
      <c r="J151" s="49"/>
      <c r="K151" s="50">
        <v>0</v>
      </c>
      <c r="L151" s="51">
        <v>0</v>
      </c>
      <c r="M151" s="50">
        <f t="shared" si="14"/>
        <v>0</v>
      </c>
      <c r="N151" s="52">
        <f t="shared" si="15"/>
        <v>0</v>
      </c>
      <c r="O151" s="53">
        <f t="shared" si="16"/>
        <v>0</v>
      </c>
    </row>
    <row r="152" spans="1:15">
      <c r="A152" s="75">
        <v>12</v>
      </c>
      <c r="B152" s="63" t="str">
        <f>"0100000069"</f>
        <v>0100000069</v>
      </c>
      <c r="C152" s="63" t="str">
        <f>"XYLOCAIN SPRAY 10% 50 ML      "</f>
        <v xml:space="preserve">XYLOCAIN SPRAY 10% 50 ML      </v>
      </c>
      <c r="D152" s="63" t="s">
        <v>50</v>
      </c>
      <c r="E152" s="63">
        <v>20</v>
      </c>
      <c r="F152" s="78"/>
      <c r="G152" s="78"/>
      <c r="H152" s="81"/>
      <c r="I152" s="66"/>
      <c r="J152" s="65"/>
      <c r="K152" s="67">
        <v>0</v>
      </c>
      <c r="L152" s="68">
        <v>0</v>
      </c>
      <c r="M152" s="67">
        <f t="shared" si="14"/>
        <v>0</v>
      </c>
      <c r="N152" s="69">
        <f t="shared" si="15"/>
        <v>0</v>
      </c>
      <c r="O152" s="70">
        <f t="shared" si="16"/>
        <v>0</v>
      </c>
    </row>
    <row r="153" spans="1:15" ht="15.75">
      <c r="A153" s="120" t="s">
        <v>46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71">
        <f>SUM(N141:N152)</f>
        <v>0</v>
      </c>
      <c r="O153" s="72">
        <f>SUM(O141:O152)</f>
        <v>0</v>
      </c>
    </row>
    <row r="154" spans="1:15" ht="15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80"/>
      <c r="O154" s="80"/>
    </row>
    <row r="155" spans="1:15">
      <c r="A155" s="18"/>
      <c r="B155" s="18"/>
      <c r="C155" s="19" t="s">
        <v>47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>
      <c r="A156" s="18"/>
      <c r="B156" s="18"/>
      <c r="C156" s="19" t="s">
        <v>48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20.25">
      <c r="A158" s="121" t="s">
        <v>69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1:15" ht="64.5">
      <c r="A159" s="24" t="s">
        <v>15</v>
      </c>
      <c r="B159" s="25" t="s">
        <v>16</v>
      </c>
      <c r="C159" s="25" t="s">
        <v>17</v>
      </c>
      <c r="D159" s="25" t="s">
        <v>18</v>
      </c>
      <c r="E159" s="26" t="s">
        <v>19</v>
      </c>
      <c r="F159" s="27" t="s">
        <v>20</v>
      </c>
      <c r="G159" s="27" t="s">
        <v>21</v>
      </c>
      <c r="H159" s="27" t="s">
        <v>22</v>
      </c>
      <c r="I159" s="27" t="s">
        <v>23</v>
      </c>
      <c r="J159" s="25" t="s">
        <v>24</v>
      </c>
      <c r="K159" s="28" t="s">
        <v>25</v>
      </c>
      <c r="L159" s="25" t="s">
        <v>26</v>
      </c>
      <c r="M159" s="28" t="s">
        <v>27</v>
      </c>
      <c r="N159" s="27" t="s">
        <v>28</v>
      </c>
      <c r="O159" s="29" t="s">
        <v>29</v>
      </c>
    </row>
    <row r="160" spans="1:15">
      <c r="A160" s="30">
        <v>1</v>
      </c>
      <c r="B160" s="31">
        <v>2</v>
      </c>
      <c r="C160" s="31">
        <v>3</v>
      </c>
      <c r="D160" s="31">
        <v>4</v>
      </c>
      <c r="E160" s="32">
        <v>5</v>
      </c>
      <c r="F160" s="31">
        <v>6</v>
      </c>
      <c r="G160" s="31">
        <v>7</v>
      </c>
      <c r="H160" s="31">
        <v>8</v>
      </c>
      <c r="I160" s="31">
        <v>9</v>
      </c>
      <c r="J160" s="31">
        <v>10</v>
      </c>
      <c r="K160" s="31">
        <v>11</v>
      </c>
      <c r="L160" s="31">
        <v>12</v>
      </c>
      <c r="M160" s="31">
        <v>13</v>
      </c>
      <c r="N160" s="31">
        <v>14</v>
      </c>
      <c r="O160" s="33">
        <v>15</v>
      </c>
    </row>
    <row r="161" spans="1:15">
      <c r="A161" s="73">
        <v>1</v>
      </c>
      <c r="B161" s="82" t="str">
        <f>"0100000212"</f>
        <v>0100000212</v>
      </c>
      <c r="C161" s="82" t="s">
        <v>70</v>
      </c>
      <c r="D161" s="82" t="s">
        <v>34</v>
      </c>
      <c r="E161" s="82">
        <v>1</v>
      </c>
      <c r="F161" s="37"/>
      <c r="G161" s="37"/>
      <c r="H161" s="38"/>
      <c r="I161" s="38"/>
      <c r="J161" s="39"/>
      <c r="K161" s="40">
        <v>0</v>
      </c>
      <c r="L161" s="41">
        <v>0</v>
      </c>
      <c r="M161" s="40">
        <f t="shared" ref="M161:M166" si="17">+K161+L161*K161/100</f>
        <v>0</v>
      </c>
      <c r="N161" s="42">
        <f t="shared" ref="N161:N166" si="18">+K161*E161</f>
        <v>0</v>
      </c>
      <c r="O161" s="43">
        <f t="shared" ref="O161:O166" si="19">+M161*E161</f>
        <v>0</v>
      </c>
    </row>
    <row r="162" spans="1:15">
      <c r="A162" s="74">
        <v>2</v>
      </c>
      <c r="B162" s="46" t="str">
        <f>"0100000111"</f>
        <v>0100000111</v>
      </c>
      <c r="C162" s="46" t="s">
        <v>71</v>
      </c>
      <c r="D162" s="46" t="str">
        <f>"SC "</f>
        <v xml:space="preserve">SC </v>
      </c>
      <c r="E162" s="46">
        <v>2</v>
      </c>
      <c r="F162" s="47"/>
      <c r="G162" s="47"/>
      <c r="H162" s="48"/>
      <c r="I162" s="48"/>
      <c r="J162" s="49"/>
      <c r="K162" s="50">
        <v>0</v>
      </c>
      <c r="L162" s="51">
        <v>0</v>
      </c>
      <c r="M162" s="50">
        <f t="shared" si="17"/>
        <v>0</v>
      </c>
      <c r="N162" s="52">
        <f t="shared" si="18"/>
        <v>0</v>
      </c>
      <c r="O162" s="53">
        <f t="shared" si="19"/>
        <v>0</v>
      </c>
    </row>
    <row r="163" spans="1:15">
      <c r="A163" s="74">
        <v>3</v>
      </c>
      <c r="B163" s="46" t="str">
        <f>"0100000225"</f>
        <v>0100000225</v>
      </c>
      <c r="C163" s="46" t="s">
        <v>72</v>
      </c>
      <c r="D163" s="46" t="str">
        <f>"SC "</f>
        <v xml:space="preserve">SC </v>
      </c>
      <c r="E163" s="46">
        <v>1</v>
      </c>
      <c r="F163" s="47"/>
      <c r="G163" s="47"/>
      <c r="H163" s="48"/>
      <c r="I163" s="48"/>
      <c r="J163" s="49"/>
      <c r="K163" s="50">
        <v>0</v>
      </c>
      <c r="L163" s="51">
        <v>0</v>
      </c>
      <c r="M163" s="50">
        <f t="shared" si="17"/>
        <v>0</v>
      </c>
      <c r="N163" s="52">
        <f t="shared" si="18"/>
        <v>0</v>
      </c>
      <c r="O163" s="53">
        <f t="shared" si="19"/>
        <v>0</v>
      </c>
    </row>
    <row r="164" spans="1:15">
      <c r="A164" s="74">
        <v>4</v>
      </c>
      <c r="B164" s="46" t="str">
        <f>"0200000165"</f>
        <v>0200000165</v>
      </c>
      <c r="C164" s="46" t="s">
        <v>73</v>
      </c>
      <c r="D164" s="46" t="s">
        <v>34</v>
      </c>
      <c r="E164" s="46">
        <v>7</v>
      </c>
      <c r="F164" s="47"/>
      <c r="G164" s="47"/>
      <c r="H164" s="48"/>
      <c r="I164" s="48"/>
      <c r="J164" s="49"/>
      <c r="K164" s="50">
        <v>0</v>
      </c>
      <c r="L164" s="51">
        <v>0</v>
      </c>
      <c r="M164" s="50">
        <f t="shared" si="17"/>
        <v>0</v>
      </c>
      <c r="N164" s="52">
        <f t="shared" si="18"/>
        <v>0</v>
      </c>
      <c r="O164" s="53">
        <f t="shared" si="19"/>
        <v>0</v>
      </c>
    </row>
    <row r="165" spans="1:15">
      <c r="A165" s="74">
        <v>5</v>
      </c>
      <c r="B165" s="46" t="str">
        <f>"0100000066"</f>
        <v>0100000066</v>
      </c>
      <c r="C165" s="46" t="s">
        <v>74</v>
      </c>
      <c r="D165" s="46" t="str">
        <f>"SC "</f>
        <v xml:space="preserve">SC </v>
      </c>
      <c r="E165" s="46">
        <v>11</v>
      </c>
      <c r="F165" s="47"/>
      <c r="G165" s="47"/>
      <c r="H165" s="48"/>
      <c r="I165" s="48"/>
      <c r="J165" s="49"/>
      <c r="K165" s="50">
        <v>0</v>
      </c>
      <c r="L165" s="51">
        <v>0</v>
      </c>
      <c r="M165" s="50">
        <f t="shared" si="17"/>
        <v>0</v>
      </c>
      <c r="N165" s="52">
        <f t="shared" si="18"/>
        <v>0</v>
      </c>
      <c r="O165" s="53">
        <f t="shared" si="19"/>
        <v>0</v>
      </c>
    </row>
    <row r="166" spans="1:15">
      <c r="A166" s="75">
        <v>6</v>
      </c>
      <c r="B166" s="63" t="str">
        <f>"0100000076"</f>
        <v>0100000076</v>
      </c>
      <c r="C166" s="63" t="s">
        <v>75</v>
      </c>
      <c r="D166" s="63" t="str">
        <f>"SC "</f>
        <v xml:space="preserve">SC </v>
      </c>
      <c r="E166" s="63">
        <v>3</v>
      </c>
      <c r="F166" s="78"/>
      <c r="G166" s="78"/>
      <c r="H166" s="66"/>
      <c r="I166" s="66"/>
      <c r="J166" s="65"/>
      <c r="K166" s="67">
        <v>0</v>
      </c>
      <c r="L166" s="68">
        <v>0</v>
      </c>
      <c r="M166" s="67">
        <f t="shared" si="17"/>
        <v>0</v>
      </c>
      <c r="N166" s="69">
        <f t="shared" si="18"/>
        <v>0</v>
      </c>
      <c r="O166" s="70">
        <f t="shared" si="19"/>
        <v>0</v>
      </c>
    </row>
    <row r="167" spans="1:15" ht="15.75">
      <c r="A167" s="120" t="s">
        <v>46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71">
        <f>SUM(N161:N166)</f>
        <v>0</v>
      </c>
      <c r="O167" s="72">
        <f>SUM(O161:O166)</f>
        <v>0</v>
      </c>
    </row>
    <row r="168" spans="1:15" ht="15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  <c r="O168" s="80"/>
    </row>
    <row r="169" spans="1:15">
      <c r="A169" s="18"/>
      <c r="B169" s="18"/>
      <c r="C169" s="19" t="s">
        <v>47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>
      <c r="A170" s="18"/>
      <c r="B170" s="18"/>
      <c r="C170" s="19" t="s">
        <v>48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20.25">
      <c r="A172" s="121" t="s">
        <v>76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1:15" ht="64.5">
      <c r="A173" s="24" t="s">
        <v>15</v>
      </c>
      <c r="B173" s="25" t="s">
        <v>16</v>
      </c>
      <c r="C173" s="25" t="s">
        <v>17</v>
      </c>
      <c r="D173" s="25" t="s">
        <v>18</v>
      </c>
      <c r="E173" s="26" t="s">
        <v>19</v>
      </c>
      <c r="F173" s="27" t="s">
        <v>20</v>
      </c>
      <c r="G173" s="27" t="s">
        <v>21</v>
      </c>
      <c r="H173" s="27" t="s">
        <v>22</v>
      </c>
      <c r="I173" s="27" t="s">
        <v>23</v>
      </c>
      <c r="J173" s="25" t="s">
        <v>24</v>
      </c>
      <c r="K173" s="28" t="s">
        <v>25</v>
      </c>
      <c r="L173" s="25" t="s">
        <v>26</v>
      </c>
      <c r="M173" s="28" t="s">
        <v>27</v>
      </c>
      <c r="N173" s="27" t="s">
        <v>28</v>
      </c>
      <c r="O173" s="29" t="s">
        <v>29</v>
      </c>
    </row>
    <row r="174" spans="1:15">
      <c r="A174" s="30">
        <v>1</v>
      </c>
      <c r="B174" s="31">
        <v>2</v>
      </c>
      <c r="C174" s="31">
        <v>3</v>
      </c>
      <c r="D174" s="31">
        <v>4</v>
      </c>
      <c r="E174" s="32">
        <v>5</v>
      </c>
      <c r="F174" s="31">
        <v>6</v>
      </c>
      <c r="G174" s="31">
        <v>7</v>
      </c>
      <c r="H174" s="31">
        <v>8</v>
      </c>
      <c r="I174" s="31">
        <v>9</v>
      </c>
      <c r="J174" s="31">
        <v>10</v>
      </c>
      <c r="K174" s="31">
        <v>11</v>
      </c>
      <c r="L174" s="31">
        <v>12</v>
      </c>
      <c r="M174" s="31">
        <v>13</v>
      </c>
      <c r="N174" s="31">
        <v>14</v>
      </c>
      <c r="O174" s="33">
        <v>15</v>
      </c>
    </row>
    <row r="175" spans="1:15">
      <c r="A175" s="73">
        <v>1</v>
      </c>
      <c r="B175" s="36" t="str">
        <f>"0202000029"</f>
        <v>0202000029</v>
      </c>
      <c r="C175" s="36" t="str">
        <f>"ABILIFY MAINTENA 400 MG       "</f>
        <v xml:space="preserve">ABILIFY MAINTENA 400 MG       </v>
      </c>
      <c r="D175" s="36" t="str">
        <f>"KOM"</f>
        <v>KOM</v>
      </c>
      <c r="E175" s="36">
        <v>7</v>
      </c>
      <c r="F175" s="37"/>
      <c r="G175" s="37"/>
      <c r="H175" s="38"/>
      <c r="I175" s="38"/>
      <c r="J175" s="39"/>
      <c r="K175" s="40">
        <v>0</v>
      </c>
      <c r="L175" s="41">
        <v>0</v>
      </c>
      <c r="M175" s="40">
        <f t="shared" ref="M175:M206" si="20">+K175+L175*K175/100</f>
        <v>0</v>
      </c>
      <c r="N175" s="42">
        <f t="shared" ref="N175:N206" si="21">+K175*E175</f>
        <v>0</v>
      </c>
      <c r="O175" s="43">
        <f t="shared" ref="O175:O206" si="22">+M175*E175</f>
        <v>0</v>
      </c>
    </row>
    <row r="176" spans="1:15">
      <c r="A176" s="74">
        <v>2</v>
      </c>
      <c r="B176" s="46" t="str">
        <f>"0200000091"</f>
        <v>0200000091</v>
      </c>
      <c r="C176" s="46" t="s">
        <v>77</v>
      </c>
      <c r="D176" s="46" t="str">
        <f>"SC "</f>
        <v xml:space="preserve">SC </v>
      </c>
      <c r="E176" s="46">
        <v>1</v>
      </c>
      <c r="F176" s="47"/>
      <c r="G176" s="47"/>
      <c r="H176" s="48"/>
      <c r="I176" s="48"/>
      <c r="J176" s="49"/>
      <c r="K176" s="50">
        <v>0</v>
      </c>
      <c r="L176" s="51">
        <v>0</v>
      </c>
      <c r="M176" s="50">
        <f t="shared" si="20"/>
        <v>0</v>
      </c>
      <c r="N176" s="52">
        <f t="shared" si="21"/>
        <v>0</v>
      </c>
      <c r="O176" s="53">
        <f t="shared" si="22"/>
        <v>0</v>
      </c>
    </row>
    <row r="177" spans="1:15">
      <c r="A177" s="74">
        <v>3</v>
      </c>
      <c r="B177" s="46" t="str">
        <f>"0200000121"</f>
        <v>0200000121</v>
      </c>
      <c r="C177" s="46" t="s">
        <v>78</v>
      </c>
      <c r="D177" s="46" t="s">
        <v>34</v>
      </c>
      <c r="E177" s="46">
        <v>9</v>
      </c>
      <c r="F177" s="47"/>
      <c r="G177" s="47"/>
      <c r="H177" s="48"/>
      <c r="I177" s="48"/>
      <c r="J177" s="49"/>
      <c r="K177" s="50">
        <v>0</v>
      </c>
      <c r="L177" s="51">
        <v>0</v>
      </c>
      <c r="M177" s="50">
        <f t="shared" si="20"/>
        <v>0</v>
      </c>
      <c r="N177" s="52">
        <f t="shared" si="21"/>
        <v>0</v>
      </c>
      <c r="O177" s="53">
        <f t="shared" si="22"/>
        <v>0</v>
      </c>
    </row>
    <row r="178" spans="1:15">
      <c r="A178" s="74">
        <v>4</v>
      </c>
      <c r="B178" s="46" t="str">
        <f>"0200000193"</f>
        <v>0200000193</v>
      </c>
      <c r="C178" s="46" t="s">
        <v>79</v>
      </c>
      <c r="D178" s="46" t="s">
        <v>34</v>
      </c>
      <c r="E178" s="46">
        <v>3</v>
      </c>
      <c r="F178" s="47"/>
      <c r="G178" s="47"/>
      <c r="H178" s="48"/>
      <c r="I178" s="48"/>
      <c r="J178" s="49"/>
      <c r="K178" s="50">
        <v>0</v>
      </c>
      <c r="L178" s="51">
        <v>0</v>
      </c>
      <c r="M178" s="50">
        <f t="shared" si="20"/>
        <v>0</v>
      </c>
      <c r="N178" s="52">
        <f t="shared" si="21"/>
        <v>0</v>
      </c>
      <c r="O178" s="53">
        <f t="shared" si="22"/>
        <v>0</v>
      </c>
    </row>
    <row r="179" spans="1:15">
      <c r="A179" s="74">
        <v>5</v>
      </c>
      <c r="B179" s="46" t="str">
        <f>"0200000149"</f>
        <v>0200000149</v>
      </c>
      <c r="C179" s="46" t="s">
        <v>80</v>
      </c>
      <c r="D179" s="46" t="s">
        <v>34</v>
      </c>
      <c r="E179" s="46">
        <v>3</v>
      </c>
      <c r="F179" s="47"/>
      <c r="G179" s="47"/>
      <c r="H179" s="48"/>
      <c r="I179" s="48"/>
      <c r="J179" s="49"/>
      <c r="K179" s="50">
        <v>0</v>
      </c>
      <c r="L179" s="51">
        <v>0</v>
      </c>
      <c r="M179" s="50">
        <f t="shared" si="20"/>
        <v>0</v>
      </c>
      <c r="N179" s="52">
        <f t="shared" si="21"/>
        <v>0</v>
      </c>
      <c r="O179" s="53">
        <f t="shared" si="22"/>
        <v>0</v>
      </c>
    </row>
    <row r="180" spans="1:15">
      <c r="A180" s="74">
        <v>6</v>
      </c>
      <c r="B180" s="46" t="str">
        <f>"0200000003"</f>
        <v>0200000003</v>
      </c>
      <c r="C180" s="46" t="s">
        <v>81</v>
      </c>
      <c r="D180" s="46" t="str">
        <f>"SC "</f>
        <v xml:space="preserve">SC </v>
      </c>
      <c r="E180" s="46">
        <v>60</v>
      </c>
      <c r="F180" s="47"/>
      <c r="G180" s="47"/>
      <c r="H180" s="48"/>
      <c r="I180" s="48"/>
      <c r="J180" s="49"/>
      <c r="K180" s="50">
        <v>0</v>
      </c>
      <c r="L180" s="51">
        <v>0</v>
      </c>
      <c r="M180" s="50">
        <f t="shared" si="20"/>
        <v>0</v>
      </c>
      <c r="N180" s="52">
        <f t="shared" si="21"/>
        <v>0</v>
      </c>
      <c r="O180" s="53">
        <f t="shared" si="22"/>
        <v>0</v>
      </c>
    </row>
    <row r="181" spans="1:15">
      <c r="A181" s="74">
        <v>7</v>
      </c>
      <c r="B181" s="46" t="str">
        <f>"0200000004"</f>
        <v>0200000004</v>
      </c>
      <c r="C181" s="46" t="s">
        <v>82</v>
      </c>
      <c r="D181" s="46" t="str">
        <f>"SC "</f>
        <v xml:space="preserve">SC </v>
      </c>
      <c r="E181" s="46">
        <v>2</v>
      </c>
      <c r="F181" s="47"/>
      <c r="G181" s="47"/>
      <c r="H181" s="48"/>
      <c r="I181" s="48"/>
      <c r="J181" s="49"/>
      <c r="K181" s="50">
        <v>0</v>
      </c>
      <c r="L181" s="51">
        <v>0</v>
      </c>
      <c r="M181" s="50">
        <f t="shared" si="20"/>
        <v>0</v>
      </c>
      <c r="N181" s="52">
        <f t="shared" si="21"/>
        <v>0</v>
      </c>
      <c r="O181" s="53">
        <f t="shared" si="22"/>
        <v>0</v>
      </c>
    </row>
    <row r="182" spans="1:15">
      <c r="A182" s="74">
        <v>8</v>
      </c>
      <c r="B182" s="46" t="str">
        <f>"0200000005"</f>
        <v>0200000005</v>
      </c>
      <c r="C182" s="46" t="s">
        <v>83</v>
      </c>
      <c r="D182" s="46" t="str">
        <f>"SC "</f>
        <v xml:space="preserve">SC </v>
      </c>
      <c r="E182" s="46">
        <v>8</v>
      </c>
      <c r="F182" s="47"/>
      <c r="G182" s="47"/>
      <c r="H182" s="48"/>
      <c r="I182" s="48"/>
      <c r="J182" s="49"/>
      <c r="K182" s="50">
        <v>0</v>
      </c>
      <c r="L182" s="51">
        <v>0</v>
      </c>
      <c r="M182" s="50">
        <f t="shared" si="20"/>
        <v>0</v>
      </c>
      <c r="N182" s="52">
        <f t="shared" si="21"/>
        <v>0</v>
      </c>
      <c r="O182" s="53">
        <f t="shared" si="22"/>
        <v>0</v>
      </c>
    </row>
    <row r="183" spans="1:15">
      <c r="A183" s="74">
        <v>9</v>
      </c>
      <c r="B183" s="46" t="str">
        <f>"0200000185"</f>
        <v>0200000185</v>
      </c>
      <c r="C183" s="46" t="str">
        <f>"ARTERENOL 1MG/ML 25ML         "</f>
        <v xml:space="preserve">ARTERENOL 1MG/ML 25ML         </v>
      </c>
      <c r="D183" s="46" t="str">
        <f>"KOM"</f>
        <v>KOM</v>
      </c>
      <c r="E183" s="46">
        <v>4</v>
      </c>
      <c r="F183" s="47"/>
      <c r="G183" s="47"/>
      <c r="H183" s="48"/>
      <c r="I183" s="48"/>
      <c r="J183" s="49"/>
      <c r="K183" s="50">
        <v>0</v>
      </c>
      <c r="L183" s="51">
        <v>0</v>
      </c>
      <c r="M183" s="50">
        <f t="shared" si="20"/>
        <v>0</v>
      </c>
      <c r="N183" s="52">
        <f t="shared" si="21"/>
        <v>0</v>
      </c>
      <c r="O183" s="53">
        <f t="shared" si="22"/>
        <v>0</v>
      </c>
    </row>
    <row r="184" spans="1:15">
      <c r="A184" s="74">
        <v>10</v>
      </c>
      <c r="B184" s="46" t="str">
        <f>"0200000083"</f>
        <v>0200000083</v>
      </c>
      <c r="C184" s="46" t="s">
        <v>84</v>
      </c>
      <c r="D184" s="46" t="str">
        <f>"SC "</f>
        <v xml:space="preserve">SC </v>
      </c>
      <c r="E184" s="46">
        <v>2</v>
      </c>
      <c r="F184" s="47"/>
      <c r="G184" s="47"/>
      <c r="H184" s="48"/>
      <c r="I184" s="48"/>
      <c r="J184" s="49"/>
      <c r="K184" s="50">
        <v>0</v>
      </c>
      <c r="L184" s="51">
        <v>0</v>
      </c>
      <c r="M184" s="50">
        <f t="shared" si="20"/>
        <v>0</v>
      </c>
      <c r="N184" s="52">
        <f t="shared" si="21"/>
        <v>0</v>
      </c>
      <c r="O184" s="53">
        <f t="shared" si="22"/>
        <v>0</v>
      </c>
    </row>
    <row r="185" spans="1:15">
      <c r="A185" s="74">
        <v>11</v>
      </c>
      <c r="B185" s="59" t="str">
        <f>"0200000164"</f>
        <v>0200000164</v>
      </c>
      <c r="C185" s="59" t="s">
        <v>85</v>
      </c>
      <c r="D185" s="59" t="str">
        <f>"SC "</f>
        <v xml:space="preserve">SC </v>
      </c>
      <c r="E185" s="59">
        <v>11</v>
      </c>
      <c r="F185" s="47"/>
      <c r="G185" s="47"/>
      <c r="H185" s="48"/>
      <c r="I185" s="48"/>
      <c r="J185" s="49"/>
      <c r="K185" s="50">
        <v>0</v>
      </c>
      <c r="L185" s="51">
        <v>0</v>
      </c>
      <c r="M185" s="50">
        <f t="shared" si="20"/>
        <v>0</v>
      </c>
      <c r="N185" s="52">
        <f t="shared" si="21"/>
        <v>0</v>
      </c>
      <c r="O185" s="53">
        <f t="shared" si="22"/>
        <v>0</v>
      </c>
    </row>
    <row r="186" spans="1:15">
      <c r="A186" s="74">
        <v>12</v>
      </c>
      <c r="B186" s="46" t="str">
        <f>"0200000137"</f>
        <v>0200000137</v>
      </c>
      <c r="C186" s="46" t="s">
        <v>86</v>
      </c>
      <c r="D186" s="46" t="str">
        <f>"SC "</f>
        <v xml:space="preserve">SC </v>
      </c>
      <c r="E186" s="46">
        <v>27</v>
      </c>
      <c r="F186" s="47"/>
      <c r="G186" s="47"/>
      <c r="H186" s="48"/>
      <c r="I186" s="48"/>
      <c r="J186" s="49"/>
      <c r="K186" s="50">
        <v>0</v>
      </c>
      <c r="L186" s="51">
        <v>0</v>
      </c>
      <c r="M186" s="50">
        <f t="shared" si="20"/>
        <v>0</v>
      </c>
      <c r="N186" s="52">
        <f t="shared" si="21"/>
        <v>0</v>
      </c>
      <c r="O186" s="53">
        <f t="shared" si="22"/>
        <v>0</v>
      </c>
    </row>
    <row r="187" spans="1:15">
      <c r="A187" s="74">
        <v>13</v>
      </c>
      <c r="B187" s="46" t="str">
        <f>"0200000113"</f>
        <v>0200000113</v>
      </c>
      <c r="C187" s="46" t="str">
        <f>"BONVIVA AMPULA                "</f>
        <v xml:space="preserve">BONVIVA AMPULA                </v>
      </c>
      <c r="D187" s="46" t="str">
        <f>"KOM"</f>
        <v>KOM</v>
      </c>
      <c r="E187" s="46">
        <v>1</v>
      </c>
      <c r="F187" s="47"/>
      <c r="G187" s="47"/>
      <c r="H187" s="48"/>
      <c r="I187" s="48"/>
      <c r="J187" s="49"/>
      <c r="K187" s="50">
        <v>0</v>
      </c>
      <c r="L187" s="51">
        <v>0</v>
      </c>
      <c r="M187" s="50">
        <f t="shared" si="20"/>
        <v>0</v>
      </c>
      <c r="N187" s="52">
        <f t="shared" si="21"/>
        <v>0</v>
      </c>
      <c r="O187" s="53">
        <f t="shared" si="22"/>
        <v>0</v>
      </c>
    </row>
    <row r="188" spans="1:15">
      <c r="A188" s="74">
        <v>14</v>
      </c>
      <c r="B188" s="46" t="str">
        <f>"0200000010"</f>
        <v>0200000010</v>
      </c>
      <c r="C188" s="46" t="s">
        <v>87</v>
      </c>
      <c r="D188" s="46" t="str">
        <f>"SC "</f>
        <v xml:space="preserve">SC </v>
      </c>
      <c r="E188" s="46">
        <v>11</v>
      </c>
      <c r="F188" s="47"/>
      <c r="G188" s="47"/>
      <c r="H188" s="48"/>
      <c r="I188" s="48"/>
      <c r="J188" s="49"/>
      <c r="K188" s="50">
        <v>0</v>
      </c>
      <c r="L188" s="51">
        <v>0</v>
      </c>
      <c r="M188" s="50">
        <f t="shared" si="20"/>
        <v>0</v>
      </c>
      <c r="N188" s="52">
        <f t="shared" si="21"/>
        <v>0</v>
      </c>
      <c r="O188" s="53">
        <f t="shared" si="22"/>
        <v>0</v>
      </c>
    </row>
    <row r="189" spans="1:15">
      <c r="A189" s="74">
        <v>15</v>
      </c>
      <c r="B189" s="46" t="str">
        <f>"0200000194"</f>
        <v>0200000194</v>
      </c>
      <c r="C189" s="46" t="s">
        <v>88</v>
      </c>
      <c r="D189" s="46" t="s">
        <v>34</v>
      </c>
      <c r="E189" s="46">
        <v>5</v>
      </c>
      <c r="F189" s="47"/>
      <c r="G189" s="47"/>
      <c r="H189" s="48"/>
      <c r="I189" s="48"/>
      <c r="J189" s="49"/>
      <c r="K189" s="50">
        <v>0</v>
      </c>
      <c r="L189" s="51">
        <v>0</v>
      </c>
      <c r="M189" s="50">
        <f t="shared" si="20"/>
        <v>0</v>
      </c>
      <c r="N189" s="52">
        <f t="shared" si="21"/>
        <v>0</v>
      </c>
      <c r="O189" s="53">
        <f t="shared" si="22"/>
        <v>0</v>
      </c>
    </row>
    <row r="190" spans="1:15">
      <c r="A190" s="74">
        <v>16</v>
      </c>
      <c r="B190" s="46" t="str">
        <f>"0200000186"</f>
        <v>0200000186</v>
      </c>
      <c r="C190" s="46" t="s">
        <v>89</v>
      </c>
      <c r="D190" s="46" t="s">
        <v>34</v>
      </c>
      <c r="E190" s="46">
        <v>2</v>
      </c>
      <c r="F190" s="47"/>
      <c r="G190" s="47"/>
      <c r="H190" s="48"/>
      <c r="I190" s="48"/>
      <c r="J190" s="49"/>
      <c r="K190" s="50">
        <v>0</v>
      </c>
      <c r="L190" s="51">
        <v>0</v>
      </c>
      <c r="M190" s="50">
        <f t="shared" si="20"/>
        <v>0</v>
      </c>
      <c r="N190" s="52">
        <f t="shared" si="21"/>
        <v>0</v>
      </c>
      <c r="O190" s="53">
        <f t="shared" si="22"/>
        <v>0</v>
      </c>
    </row>
    <row r="191" spans="1:15">
      <c r="A191" s="74">
        <v>17</v>
      </c>
      <c r="B191" s="46" t="str">
        <f>"0202000022"</f>
        <v>0202000022</v>
      </c>
      <c r="C191" s="46" t="str">
        <f>"DEPO MEDROL 40 MG ZA          "</f>
        <v xml:space="preserve">DEPO MEDROL 40 MG ZA          </v>
      </c>
      <c r="D191" s="46" t="str">
        <f>"KOM"</f>
        <v>KOM</v>
      </c>
      <c r="E191" s="46">
        <v>4</v>
      </c>
      <c r="F191" s="47"/>
      <c r="G191" s="47"/>
      <c r="H191" s="48"/>
      <c r="I191" s="48"/>
      <c r="J191" s="49"/>
      <c r="K191" s="50">
        <v>0</v>
      </c>
      <c r="L191" s="51">
        <v>0</v>
      </c>
      <c r="M191" s="50">
        <f t="shared" si="20"/>
        <v>0</v>
      </c>
      <c r="N191" s="52">
        <f t="shared" si="21"/>
        <v>0</v>
      </c>
      <c r="O191" s="53">
        <f t="shared" si="22"/>
        <v>0</v>
      </c>
    </row>
    <row r="192" spans="1:15">
      <c r="A192" s="74">
        <v>18</v>
      </c>
      <c r="B192" s="46" t="str">
        <f>"0200000011"</f>
        <v>0200000011</v>
      </c>
      <c r="C192" s="46" t="s">
        <v>90</v>
      </c>
      <c r="D192" s="46" t="str">
        <f>"SC "</f>
        <v xml:space="preserve">SC </v>
      </c>
      <c r="E192" s="46">
        <v>286</v>
      </c>
      <c r="F192" s="47"/>
      <c r="G192" s="47"/>
      <c r="H192" s="48"/>
      <c r="I192" s="48"/>
      <c r="J192" s="49"/>
      <c r="K192" s="50">
        <v>0</v>
      </c>
      <c r="L192" s="51">
        <v>0</v>
      </c>
      <c r="M192" s="50">
        <f t="shared" si="20"/>
        <v>0</v>
      </c>
      <c r="N192" s="52">
        <f t="shared" si="21"/>
        <v>0</v>
      </c>
      <c r="O192" s="53">
        <f t="shared" si="22"/>
        <v>0</v>
      </c>
    </row>
    <row r="193" spans="1:20">
      <c r="A193" s="74">
        <v>19</v>
      </c>
      <c r="B193" s="46" t="str">
        <f>"0200000013"</f>
        <v>0200000013</v>
      </c>
      <c r="C193" s="46" t="s">
        <v>91</v>
      </c>
      <c r="D193" s="46" t="str">
        <f>"SC "</f>
        <v xml:space="preserve">SC </v>
      </c>
      <c r="E193" s="46">
        <v>4</v>
      </c>
      <c r="F193" s="47"/>
      <c r="G193" s="47"/>
      <c r="H193" s="48"/>
      <c r="I193" s="48"/>
      <c r="J193" s="49"/>
      <c r="K193" s="50">
        <v>0</v>
      </c>
      <c r="L193" s="51">
        <v>0</v>
      </c>
      <c r="M193" s="50">
        <f t="shared" si="20"/>
        <v>0</v>
      </c>
      <c r="N193" s="52">
        <f t="shared" si="21"/>
        <v>0</v>
      </c>
      <c r="O193" s="53">
        <f t="shared" si="22"/>
        <v>0</v>
      </c>
    </row>
    <row r="194" spans="1:20">
      <c r="A194" s="74">
        <v>20</v>
      </c>
      <c r="B194" s="46" t="str">
        <f>"0200000166"</f>
        <v>0200000166</v>
      </c>
      <c r="C194" s="46" t="s">
        <v>92</v>
      </c>
      <c r="D194" s="46" t="s">
        <v>34</v>
      </c>
      <c r="E194" s="46">
        <v>1</v>
      </c>
      <c r="F194" s="47"/>
      <c r="G194" s="47"/>
      <c r="H194" s="48"/>
      <c r="I194" s="48"/>
      <c r="J194" s="49"/>
      <c r="K194" s="50">
        <v>0</v>
      </c>
      <c r="L194" s="51">
        <v>0</v>
      </c>
      <c r="M194" s="50">
        <f t="shared" si="20"/>
        <v>0</v>
      </c>
      <c r="N194" s="52">
        <f t="shared" si="21"/>
        <v>0</v>
      </c>
      <c r="O194" s="53">
        <f t="shared" si="22"/>
        <v>0</v>
      </c>
    </row>
    <row r="195" spans="1:20">
      <c r="A195" s="74">
        <v>21</v>
      </c>
      <c r="B195" s="46"/>
      <c r="C195" s="46" t="s">
        <v>93</v>
      </c>
      <c r="D195" s="46" t="s">
        <v>34</v>
      </c>
      <c r="E195" s="46">
        <v>3</v>
      </c>
      <c r="F195" s="47"/>
      <c r="G195" s="47"/>
      <c r="H195" s="48"/>
      <c r="I195" s="48"/>
      <c r="J195" s="49"/>
      <c r="K195" s="50">
        <v>0</v>
      </c>
      <c r="L195" s="51">
        <v>0</v>
      </c>
      <c r="M195" s="50">
        <f t="shared" si="20"/>
        <v>0</v>
      </c>
      <c r="N195" s="52">
        <f t="shared" si="21"/>
        <v>0</v>
      </c>
      <c r="O195" s="53">
        <f t="shared" si="22"/>
        <v>0</v>
      </c>
    </row>
    <row r="196" spans="1:20">
      <c r="A196" s="74">
        <v>22</v>
      </c>
      <c r="B196" s="46" t="str">
        <f>"0200000014"</f>
        <v>0200000014</v>
      </c>
      <c r="C196" s="46" t="s">
        <v>94</v>
      </c>
      <c r="D196" s="46" t="str">
        <f>"SC "</f>
        <v xml:space="preserve">SC </v>
      </c>
      <c r="E196" s="46">
        <v>7</v>
      </c>
      <c r="F196" s="47"/>
      <c r="G196" s="47"/>
      <c r="H196" s="48"/>
      <c r="I196" s="48"/>
      <c r="J196" s="49"/>
      <c r="K196" s="50">
        <v>0</v>
      </c>
      <c r="L196" s="51">
        <v>0</v>
      </c>
      <c r="M196" s="50">
        <f t="shared" si="20"/>
        <v>0</v>
      </c>
      <c r="N196" s="52">
        <f t="shared" si="21"/>
        <v>0</v>
      </c>
      <c r="O196" s="53">
        <f t="shared" si="22"/>
        <v>0</v>
      </c>
    </row>
    <row r="197" spans="1:20">
      <c r="A197" s="74">
        <v>23</v>
      </c>
      <c r="B197" s="46" t="str">
        <f>"0200000015"</f>
        <v>0200000015</v>
      </c>
      <c r="C197" s="46" t="s">
        <v>95</v>
      </c>
      <c r="D197" s="46" t="str">
        <f>"SC "</f>
        <v xml:space="preserve">SC </v>
      </c>
      <c r="E197" s="46">
        <v>31</v>
      </c>
      <c r="F197" s="47"/>
      <c r="G197" s="47"/>
      <c r="H197" s="48"/>
      <c r="I197" s="48"/>
      <c r="J197" s="49"/>
      <c r="K197" s="50">
        <v>0</v>
      </c>
      <c r="L197" s="51">
        <v>0</v>
      </c>
      <c r="M197" s="50">
        <f t="shared" si="20"/>
        <v>0</v>
      </c>
      <c r="N197" s="52">
        <f t="shared" si="21"/>
        <v>0</v>
      </c>
      <c r="O197" s="53">
        <f t="shared" si="22"/>
        <v>0</v>
      </c>
    </row>
    <row r="198" spans="1:20">
      <c r="A198" s="74">
        <v>24</v>
      </c>
      <c r="B198" s="46" t="str">
        <f>"0200000184"</f>
        <v>0200000184</v>
      </c>
      <c r="C198" s="46" t="s">
        <v>96</v>
      </c>
      <c r="D198" s="46" t="s">
        <v>34</v>
      </c>
      <c r="E198" s="46">
        <v>2</v>
      </c>
      <c r="F198" s="47"/>
      <c r="G198" s="47"/>
      <c r="H198" s="48"/>
      <c r="I198" s="48"/>
      <c r="J198" s="49"/>
      <c r="K198" s="50">
        <v>0</v>
      </c>
      <c r="L198" s="51">
        <v>0</v>
      </c>
      <c r="M198" s="50">
        <f t="shared" si="20"/>
        <v>0</v>
      </c>
      <c r="N198" s="52">
        <f t="shared" si="21"/>
        <v>0</v>
      </c>
      <c r="O198" s="53">
        <f t="shared" si="22"/>
        <v>0</v>
      </c>
    </row>
    <row r="199" spans="1:20">
      <c r="A199" s="74">
        <v>25</v>
      </c>
      <c r="B199" s="46" t="str">
        <f>"0200000074"</f>
        <v>0200000074</v>
      </c>
      <c r="C199" s="46" t="s">
        <v>97</v>
      </c>
      <c r="D199" s="46" t="s">
        <v>34</v>
      </c>
      <c r="E199" s="46">
        <v>1</v>
      </c>
      <c r="F199" s="47"/>
      <c r="G199" s="47"/>
      <c r="H199" s="48"/>
      <c r="I199" s="48"/>
      <c r="J199" s="49"/>
      <c r="K199" s="50">
        <v>0</v>
      </c>
      <c r="L199" s="51">
        <v>0</v>
      </c>
      <c r="M199" s="50">
        <f t="shared" si="20"/>
        <v>0</v>
      </c>
      <c r="N199" s="52">
        <f t="shared" si="21"/>
        <v>0</v>
      </c>
      <c r="O199" s="53">
        <f t="shared" si="22"/>
        <v>0</v>
      </c>
    </row>
    <row r="200" spans="1:20">
      <c r="A200" s="74">
        <v>26</v>
      </c>
      <c r="B200" s="46" t="str">
        <f>"0200000018"</f>
        <v>0200000018</v>
      </c>
      <c r="C200" s="46" t="s">
        <v>98</v>
      </c>
      <c r="D200" s="46" t="str">
        <f>"SC "</f>
        <v xml:space="preserve">SC </v>
      </c>
      <c r="E200" s="46">
        <v>43</v>
      </c>
      <c r="F200" s="47"/>
      <c r="G200" s="47"/>
      <c r="H200" s="48"/>
      <c r="I200" s="48"/>
      <c r="J200" s="49"/>
      <c r="K200" s="50">
        <v>0</v>
      </c>
      <c r="L200" s="51">
        <v>0</v>
      </c>
      <c r="M200" s="50">
        <f t="shared" si="20"/>
        <v>0</v>
      </c>
      <c r="N200" s="52">
        <f t="shared" si="21"/>
        <v>0</v>
      </c>
      <c r="O200" s="53">
        <f t="shared" si="22"/>
        <v>0</v>
      </c>
    </row>
    <row r="201" spans="1:20" s="87" customFormat="1">
      <c r="A201" s="74">
        <v>27</v>
      </c>
      <c r="B201" s="55" t="str">
        <f>"0200000025"</f>
        <v>0200000025</v>
      </c>
      <c r="C201" s="55" t="str">
        <f>"GLUCAGEN 1 MG HYPOKIT + SOL   "</f>
        <v xml:space="preserve">GLUCAGEN 1 MG HYPOKIT + SOL   </v>
      </c>
      <c r="D201" s="55" t="s">
        <v>50</v>
      </c>
      <c r="E201" s="55">
        <v>7</v>
      </c>
      <c r="F201" s="83"/>
      <c r="G201" s="83"/>
      <c r="H201" s="84"/>
      <c r="I201" s="85"/>
      <c r="J201" s="86"/>
      <c r="K201" s="50">
        <v>0</v>
      </c>
      <c r="L201" s="51">
        <v>0</v>
      </c>
      <c r="M201" s="50">
        <f t="shared" si="20"/>
        <v>0</v>
      </c>
      <c r="N201" s="52">
        <f t="shared" si="21"/>
        <v>0</v>
      </c>
      <c r="O201" s="53">
        <f t="shared" si="22"/>
        <v>0</v>
      </c>
      <c r="Q201" s="60"/>
      <c r="R201" s="60"/>
    </row>
    <row r="202" spans="1:20">
      <c r="A202" s="74">
        <v>28</v>
      </c>
      <c r="B202" s="46" t="str">
        <f>"0200000180"</f>
        <v>0200000180</v>
      </c>
      <c r="C202" s="46" t="s">
        <v>99</v>
      </c>
      <c r="D202" s="46" t="str">
        <f>"SC "</f>
        <v xml:space="preserve">SC </v>
      </c>
      <c r="E202" s="46">
        <v>5</v>
      </c>
      <c r="F202" s="47"/>
      <c r="G202" s="47"/>
      <c r="H202" s="54"/>
      <c r="I202" s="48"/>
      <c r="J202" s="49"/>
      <c r="K202" s="50">
        <v>0</v>
      </c>
      <c r="L202" s="51">
        <v>0</v>
      </c>
      <c r="M202" s="50">
        <f t="shared" si="20"/>
        <v>0</v>
      </c>
      <c r="N202" s="52">
        <f t="shared" si="21"/>
        <v>0</v>
      </c>
      <c r="O202" s="53">
        <f t="shared" si="22"/>
        <v>0</v>
      </c>
    </row>
    <row r="203" spans="1:20">
      <c r="A203" s="74">
        <v>29</v>
      </c>
      <c r="B203" s="46"/>
      <c r="C203" s="46" t="s">
        <v>100</v>
      </c>
      <c r="D203" s="46" t="s">
        <v>34</v>
      </c>
      <c r="E203" s="46">
        <v>5</v>
      </c>
      <c r="F203" s="47"/>
      <c r="G203" s="47"/>
      <c r="H203" s="54"/>
      <c r="I203" s="48"/>
      <c r="J203" s="49"/>
      <c r="K203" s="50">
        <v>0</v>
      </c>
      <c r="L203" s="51">
        <v>0</v>
      </c>
      <c r="M203" s="50">
        <f t="shared" si="20"/>
        <v>0</v>
      </c>
      <c r="N203" s="52">
        <f t="shared" si="21"/>
        <v>0</v>
      </c>
      <c r="O203" s="53">
        <f t="shared" si="22"/>
        <v>0</v>
      </c>
    </row>
    <row r="204" spans="1:20">
      <c r="A204" s="74">
        <v>30</v>
      </c>
      <c r="B204" s="46" t="str">
        <f>"0200000106"</f>
        <v>0200000106</v>
      </c>
      <c r="C204" s="92" t="s">
        <v>178</v>
      </c>
      <c r="D204" s="46" t="s">
        <v>34</v>
      </c>
      <c r="E204" s="46">
        <v>3</v>
      </c>
      <c r="F204" s="47"/>
      <c r="G204" s="47"/>
      <c r="H204" s="54"/>
      <c r="I204" s="48"/>
      <c r="J204" s="49"/>
      <c r="K204" s="50">
        <v>0</v>
      </c>
      <c r="L204" s="51">
        <v>0</v>
      </c>
      <c r="M204" s="50">
        <f t="shared" si="20"/>
        <v>0</v>
      </c>
      <c r="N204" s="52">
        <f t="shared" si="21"/>
        <v>0</v>
      </c>
      <c r="O204" s="53">
        <f t="shared" si="22"/>
        <v>0</v>
      </c>
      <c r="R204" s="113"/>
      <c r="S204" s="113"/>
      <c r="T204" s="113"/>
    </row>
    <row r="205" spans="1:20">
      <c r="A205" s="74">
        <v>31</v>
      </c>
      <c r="B205" s="46" t="str">
        <f>"0200000155"</f>
        <v>0200000155</v>
      </c>
      <c r="C205" s="46" t="str">
        <f>"IROPREM 50 MG/ML VIALA 10 ML  "</f>
        <v xml:space="preserve">IROPREM 50 MG/ML VIALA 10 ML  </v>
      </c>
      <c r="D205" s="46" t="str">
        <f>"KOM"</f>
        <v>KOM</v>
      </c>
      <c r="E205" s="46">
        <v>118</v>
      </c>
      <c r="F205" s="47"/>
      <c r="G205" s="47"/>
      <c r="H205" s="54"/>
      <c r="I205" s="48"/>
      <c r="J205" s="49"/>
      <c r="K205" s="50">
        <v>0</v>
      </c>
      <c r="L205" s="51">
        <v>0</v>
      </c>
      <c r="M205" s="50">
        <f t="shared" si="20"/>
        <v>0</v>
      </c>
      <c r="N205" s="52">
        <f t="shared" si="21"/>
        <v>0</v>
      </c>
      <c r="O205" s="53">
        <f t="shared" si="22"/>
        <v>0</v>
      </c>
    </row>
    <row r="206" spans="1:20">
      <c r="A206" s="74">
        <v>32</v>
      </c>
      <c r="B206" s="46" t="str">
        <f>"0200000031"</f>
        <v>0200000031</v>
      </c>
      <c r="C206" s="46" t="s">
        <v>101</v>
      </c>
      <c r="D206" s="46" t="str">
        <f>"SC "</f>
        <v xml:space="preserve">SC </v>
      </c>
      <c r="E206" s="46">
        <v>86</v>
      </c>
      <c r="F206" s="47"/>
      <c r="G206" s="47"/>
      <c r="H206" s="54"/>
      <c r="I206" s="48"/>
      <c r="J206" s="49"/>
      <c r="K206" s="50">
        <v>0</v>
      </c>
      <c r="L206" s="51">
        <v>0</v>
      </c>
      <c r="M206" s="50">
        <f t="shared" si="20"/>
        <v>0</v>
      </c>
      <c r="N206" s="52">
        <f t="shared" si="21"/>
        <v>0</v>
      </c>
      <c r="O206" s="53">
        <f t="shared" si="22"/>
        <v>0</v>
      </c>
    </row>
    <row r="207" spans="1:20">
      <c r="A207" s="74">
        <v>33</v>
      </c>
      <c r="B207" s="46" t="str">
        <f>"0200000089"</f>
        <v>0200000089</v>
      </c>
      <c r="C207" s="46" t="s">
        <v>102</v>
      </c>
      <c r="D207" s="46" t="str">
        <f>"SC "</f>
        <v xml:space="preserve">SC </v>
      </c>
      <c r="E207" s="46">
        <v>2</v>
      </c>
      <c r="F207" s="47"/>
      <c r="G207" s="47"/>
      <c r="H207" s="54"/>
      <c r="I207" s="48"/>
      <c r="J207" s="49"/>
      <c r="K207" s="50">
        <v>0</v>
      </c>
      <c r="L207" s="51">
        <v>0</v>
      </c>
      <c r="M207" s="50">
        <f t="shared" ref="M207:M236" si="23">+K207+L207*K207/100</f>
        <v>0</v>
      </c>
      <c r="N207" s="52">
        <f t="shared" ref="N207:N236" si="24">+K207*E207</f>
        <v>0</v>
      </c>
      <c r="O207" s="53">
        <f t="shared" ref="O207:O236" si="25">+M207*E207</f>
        <v>0</v>
      </c>
    </row>
    <row r="208" spans="1:20">
      <c r="A208" s="74">
        <v>34</v>
      </c>
      <c r="B208" s="46"/>
      <c r="C208" s="46" t="s">
        <v>103</v>
      </c>
      <c r="D208" s="46" t="s">
        <v>34</v>
      </c>
      <c r="E208" s="46">
        <v>2</v>
      </c>
      <c r="F208" s="47"/>
      <c r="G208" s="47"/>
      <c r="H208" s="54"/>
      <c r="I208" s="48"/>
      <c r="J208" s="49"/>
      <c r="K208" s="50">
        <v>0</v>
      </c>
      <c r="L208" s="51">
        <v>0</v>
      </c>
      <c r="M208" s="50">
        <f t="shared" si="23"/>
        <v>0</v>
      </c>
      <c r="N208" s="52">
        <f t="shared" si="24"/>
        <v>0</v>
      </c>
      <c r="O208" s="53">
        <f t="shared" si="25"/>
        <v>0</v>
      </c>
    </row>
    <row r="209" spans="1:18">
      <c r="A209" s="74">
        <v>35</v>
      </c>
      <c r="B209" s="46" t="str">
        <f>"0200000032"</f>
        <v>0200000032</v>
      </c>
      <c r="C209" s="46" t="s">
        <v>104</v>
      </c>
      <c r="D209" s="46" t="str">
        <f>"SC "</f>
        <v xml:space="preserve">SC </v>
      </c>
      <c r="E209" s="46">
        <v>329</v>
      </c>
      <c r="F209" s="47"/>
      <c r="G209" s="47"/>
      <c r="H209" s="54"/>
      <c r="I209" s="48"/>
      <c r="J209" s="49"/>
      <c r="K209" s="50">
        <v>0</v>
      </c>
      <c r="L209" s="51">
        <v>0</v>
      </c>
      <c r="M209" s="50">
        <f t="shared" si="23"/>
        <v>0</v>
      </c>
      <c r="N209" s="52">
        <f t="shared" si="24"/>
        <v>0</v>
      </c>
      <c r="O209" s="53">
        <f t="shared" si="25"/>
        <v>0</v>
      </c>
    </row>
    <row r="210" spans="1:18">
      <c r="A210" s="74">
        <v>36</v>
      </c>
      <c r="B210" s="46" t="str">
        <f>"0200000033"</f>
        <v>0200000033</v>
      </c>
      <c r="C210" s="46" t="s">
        <v>105</v>
      </c>
      <c r="D210" s="46" t="str">
        <f>"SC "</f>
        <v xml:space="preserve">SC </v>
      </c>
      <c r="E210" s="46">
        <v>9</v>
      </c>
      <c r="F210" s="47"/>
      <c r="G210" s="47"/>
      <c r="H210" s="54"/>
      <c r="I210" s="48"/>
      <c r="J210" s="49"/>
      <c r="K210" s="50">
        <v>0</v>
      </c>
      <c r="L210" s="51">
        <v>0</v>
      </c>
      <c r="M210" s="50">
        <f t="shared" si="23"/>
        <v>0</v>
      </c>
      <c r="N210" s="52">
        <f t="shared" si="24"/>
        <v>0</v>
      </c>
      <c r="O210" s="53">
        <f t="shared" si="25"/>
        <v>0</v>
      </c>
    </row>
    <row r="211" spans="1:18">
      <c r="A211" s="74">
        <v>37</v>
      </c>
      <c r="B211" s="46" t="str">
        <f>"0200000122"</f>
        <v>0200000122</v>
      </c>
      <c r="C211" s="46" t="s">
        <v>106</v>
      </c>
      <c r="D211" s="46" t="s">
        <v>107</v>
      </c>
      <c r="E211" s="46">
        <v>2</v>
      </c>
      <c r="F211" s="47"/>
      <c r="G211" s="47"/>
      <c r="H211" s="54"/>
      <c r="I211" s="48"/>
      <c r="J211" s="49"/>
      <c r="K211" s="50">
        <v>0</v>
      </c>
      <c r="L211" s="51">
        <v>0</v>
      </c>
      <c r="M211" s="50">
        <f t="shared" si="23"/>
        <v>0</v>
      </c>
      <c r="N211" s="52">
        <f t="shared" si="24"/>
        <v>0</v>
      </c>
      <c r="O211" s="53">
        <f t="shared" si="25"/>
        <v>0</v>
      </c>
    </row>
    <row r="212" spans="1:18">
      <c r="A212" s="74">
        <v>38</v>
      </c>
      <c r="B212" s="46" t="str">
        <f>"0200000172"</f>
        <v>0200000172</v>
      </c>
      <c r="C212" s="46" t="str">
        <f>"MEDROL AMP. 1ML 40 MG         "</f>
        <v xml:space="preserve">MEDROL AMP. 1ML 40 MG         </v>
      </c>
      <c r="D212" s="46" t="str">
        <f>"KOM"</f>
        <v>KOM</v>
      </c>
      <c r="E212" s="46">
        <v>51</v>
      </c>
      <c r="F212" s="47"/>
      <c r="G212" s="47"/>
      <c r="H212" s="54"/>
      <c r="I212" s="48"/>
      <c r="J212" s="49"/>
      <c r="K212" s="50">
        <v>0</v>
      </c>
      <c r="L212" s="51">
        <v>0</v>
      </c>
      <c r="M212" s="50">
        <f t="shared" si="23"/>
        <v>0</v>
      </c>
      <c r="N212" s="52">
        <f t="shared" si="24"/>
        <v>0</v>
      </c>
      <c r="O212" s="53">
        <f t="shared" si="25"/>
        <v>0</v>
      </c>
    </row>
    <row r="213" spans="1:18">
      <c r="A213" s="74">
        <v>39</v>
      </c>
      <c r="B213" s="46" t="str">
        <f>"0200000189"</f>
        <v>0200000189</v>
      </c>
      <c r="C213" s="46" t="s">
        <v>108</v>
      </c>
      <c r="D213" s="46" t="s">
        <v>34</v>
      </c>
      <c r="E213" s="46">
        <v>4</v>
      </c>
      <c r="F213" s="47"/>
      <c r="G213" s="47"/>
      <c r="H213" s="54"/>
      <c r="I213" s="48"/>
      <c r="J213" s="49"/>
      <c r="K213" s="50">
        <v>0</v>
      </c>
      <c r="L213" s="51">
        <v>0</v>
      </c>
      <c r="M213" s="50">
        <f t="shared" si="23"/>
        <v>0</v>
      </c>
      <c r="N213" s="52">
        <f t="shared" si="24"/>
        <v>0</v>
      </c>
      <c r="O213" s="53">
        <f t="shared" si="25"/>
        <v>0</v>
      </c>
    </row>
    <row r="214" spans="1:18">
      <c r="A214" s="74">
        <v>40</v>
      </c>
      <c r="B214" s="46" t="str">
        <f>"0200000190"</f>
        <v>0200000190</v>
      </c>
      <c r="C214" s="46" t="s">
        <v>109</v>
      </c>
      <c r="D214" s="46" t="s">
        <v>34</v>
      </c>
      <c r="E214" s="46">
        <v>17</v>
      </c>
      <c r="F214" s="47"/>
      <c r="G214" s="47"/>
      <c r="H214" s="54"/>
      <c r="I214" s="48"/>
      <c r="J214" s="49"/>
      <c r="K214" s="50">
        <v>0</v>
      </c>
      <c r="L214" s="51">
        <v>0</v>
      </c>
      <c r="M214" s="50">
        <f t="shared" si="23"/>
        <v>0</v>
      </c>
      <c r="N214" s="52">
        <f t="shared" si="24"/>
        <v>0</v>
      </c>
      <c r="O214" s="53">
        <f t="shared" si="25"/>
        <v>0</v>
      </c>
    </row>
    <row r="215" spans="1:18">
      <c r="A215" s="74">
        <v>41</v>
      </c>
      <c r="B215" s="46" t="str">
        <f>"0200000039"</f>
        <v>0200000039</v>
      </c>
      <c r="C215" s="46" t="s">
        <v>110</v>
      </c>
      <c r="D215" s="46" t="str">
        <f>"SC "</f>
        <v xml:space="preserve">SC </v>
      </c>
      <c r="E215" s="46">
        <v>14</v>
      </c>
      <c r="F215" s="47"/>
      <c r="G215" s="47"/>
      <c r="H215" s="54"/>
      <c r="I215" s="48"/>
      <c r="J215" s="49"/>
      <c r="K215" s="50">
        <v>0</v>
      </c>
      <c r="L215" s="51">
        <v>0</v>
      </c>
      <c r="M215" s="50">
        <f t="shared" si="23"/>
        <v>0</v>
      </c>
      <c r="N215" s="52">
        <f t="shared" si="24"/>
        <v>0</v>
      </c>
      <c r="O215" s="53">
        <f t="shared" si="25"/>
        <v>0</v>
      </c>
    </row>
    <row r="216" spans="1:18">
      <c r="A216" s="74">
        <v>42</v>
      </c>
      <c r="B216" s="46" t="str">
        <f>"0200000175"</f>
        <v>0200000175</v>
      </c>
      <c r="C216" s="46" t="s">
        <v>111</v>
      </c>
      <c r="D216" s="46" t="s">
        <v>34</v>
      </c>
      <c r="E216" s="46">
        <v>2</v>
      </c>
      <c r="F216" s="47"/>
      <c r="G216" s="47"/>
      <c r="H216" s="54"/>
      <c r="I216" s="48"/>
      <c r="J216" s="49"/>
      <c r="K216" s="50">
        <v>0</v>
      </c>
      <c r="L216" s="51">
        <v>0</v>
      </c>
      <c r="M216" s="50">
        <f t="shared" si="23"/>
        <v>0</v>
      </c>
      <c r="N216" s="52">
        <f t="shared" si="24"/>
        <v>0</v>
      </c>
      <c r="O216" s="53">
        <f t="shared" si="25"/>
        <v>0</v>
      </c>
    </row>
    <row r="217" spans="1:18">
      <c r="A217" s="74">
        <v>43</v>
      </c>
      <c r="B217" s="46" t="str">
        <f>"0201000005"</f>
        <v>0201000005</v>
      </c>
      <c r="C217" s="46" t="str">
        <f>"PRIORIX A10                   "</f>
        <v xml:space="preserve">PRIORIX A10                   </v>
      </c>
      <c r="D217" s="46" t="str">
        <f>"SC "</f>
        <v xml:space="preserve">SC </v>
      </c>
      <c r="E217" s="46">
        <v>17</v>
      </c>
      <c r="F217" s="47"/>
      <c r="G217" s="47"/>
      <c r="H217" s="54"/>
      <c r="I217" s="48"/>
      <c r="J217" s="49"/>
      <c r="K217" s="50">
        <v>0</v>
      </c>
      <c r="L217" s="51">
        <v>0</v>
      </c>
      <c r="M217" s="50">
        <f t="shared" si="23"/>
        <v>0</v>
      </c>
      <c r="N217" s="52">
        <f t="shared" si="24"/>
        <v>0</v>
      </c>
      <c r="O217" s="53">
        <f t="shared" si="25"/>
        <v>0</v>
      </c>
    </row>
    <row r="218" spans="1:18">
      <c r="A218" s="74">
        <v>44</v>
      </c>
      <c r="B218" s="46"/>
      <c r="C218" s="46" t="s">
        <v>112</v>
      </c>
      <c r="D218" s="46" t="s">
        <v>34</v>
      </c>
      <c r="E218" s="46">
        <v>1</v>
      </c>
      <c r="F218" s="47"/>
      <c r="G218" s="47"/>
      <c r="H218" s="54"/>
      <c r="I218" s="48"/>
      <c r="J218" s="49"/>
      <c r="K218" s="50">
        <v>0</v>
      </c>
      <c r="L218" s="51">
        <v>0</v>
      </c>
      <c r="M218" s="50">
        <f t="shared" si="23"/>
        <v>0</v>
      </c>
      <c r="N218" s="52">
        <f t="shared" si="24"/>
        <v>0</v>
      </c>
      <c r="O218" s="53">
        <f t="shared" si="25"/>
        <v>0</v>
      </c>
    </row>
    <row r="219" spans="1:18">
      <c r="A219" s="74">
        <v>45</v>
      </c>
      <c r="B219" s="46" t="str">
        <f>"0200000066"</f>
        <v>0200000066</v>
      </c>
      <c r="C219" s="46" t="s">
        <v>113</v>
      </c>
      <c r="D219" s="46" t="str">
        <f>"SC "</f>
        <v xml:space="preserve">SC </v>
      </c>
      <c r="E219" s="46">
        <v>17</v>
      </c>
      <c r="F219" s="47"/>
      <c r="G219" s="47"/>
      <c r="H219" s="54"/>
      <c r="I219" s="48"/>
      <c r="J219" s="49"/>
      <c r="K219" s="50">
        <v>0</v>
      </c>
      <c r="L219" s="51">
        <v>0</v>
      </c>
      <c r="M219" s="50">
        <f t="shared" si="23"/>
        <v>0</v>
      </c>
      <c r="N219" s="52">
        <f t="shared" si="24"/>
        <v>0</v>
      </c>
      <c r="O219" s="53">
        <f t="shared" si="25"/>
        <v>0</v>
      </c>
    </row>
    <row r="220" spans="1:18">
      <c r="A220" s="74">
        <v>46</v>
      </c>
      <c r="B220" s="46" t="str">
        <f>"0200000049"</f>
        <v>0200000049</v>
      </c>
      <c r="C220" s="46" t="s">
        <v>114</v>
      </c>
      <c r="D220" s="46" t="str">
        <f>"SC "</f>
        <v xml:space="preserve">SC </v>
      </c>
      <c r="E220" s="46">
        <v>8</v>
      </c>
      <c r="F220" s="47"/>
      <c r="G220" s="47"/>
      <c r="H220" s="54"/>
      <c r="I220" s="48"/>
      <c r="J220" s="49"/>
      <c r="K220" s="50">
        <v>0</v>
      </c>
      <c r="L220" s="51">
        <v>0</v>
      </c>
      <c r="M220" s="50">
        <f t="shared" si="23"/>
        <v>0</v>
      </c>
      <c r="N220" s="52">
        <f t="shared" si="24"/>
        <v>0</v>
      </c>
      <c r="O220" s="53">
        <f t="shared" si="25"/>
        <v>0</v>
      </c>
    </row>
    <row r="221" spans="1:18">
      <c r="A221" s="74">
        <v>47</v>
      </c>
      <c r="B221" s="46" t="str">
        <f>"0200000052"</f>
        <v>0200000052</v>
      </c>
      <c r="C221" s="46" t="str">
        <f>"SOLU - MEDROL AMP 40 MG 1 ML  "</f>
        <v xml:space="preserve">SOLU - MEDROL AMP 40 MG 1 ML  </v>
      </c>
      <c r="D221" s="46" t="s">
        <v>50</v>
      </c>
      <c r="E221" s="46">
        <v>419</v>
      </c>
      <c r="F221" s="47"/>
      <c r="G221" s="47"/>
      <c r="H221" s="54"/>
      <c r="I221" s="48"/>
      <c r="J221" s="49"/>
      <c r="K221" s="50">
        <v>0</v>
      </c>
      <c r="L221" s="51">
        <v>0</v>
      </c>
      <c r="M221" s="50">
        <f t="shared" si="23"/>
        <v>0</v>
      </c>
      <c r="N221" s="52">
        <f t="shared" si="24"/>
        <v>0</v>
      </c>
      <c r="O221" s="53">
        <f t="shared" si="25"/>
        <v>0</v>
      </c>
    </row>
    <row r="222" spans="1:18">
      <c r="A222" s="74">
        <v>48</v>
      </c>
      <c r="B222" s="46" t="str">
        <f>"0200000127"</f>
        <v>0200000127</v>
      </c>
      <c r="C222" s="46" t="str">
        <f>"SOLU MEDROL AMP 125 MG 2ML    "</f>
        <v xml:space="preserve">SOLU MEDROL AMP 125 MG 2ML    </v>
      </c>
      <c r="D222" s="46" t="str">
        <f>"KOM"</f>
        <v>KOM</v>
      </c>
      <c r="E222" s="46">
        <v>183</v>
      </c>
      <c r="F222" s="47"/>
      <c r="G222" s="47"/>
      <c r="H222" s="54"/>
      <c r="I222" s="48"/>
      <c r="J222" s="49"/>
      <c r="K222" s="50">
        <v>0</v>
      </c>
      <c r="L222" s="51">
        <v>0</v>
      </c>
      <c r="M222" s="50">
        <f t="shared" si="23"/>
        <v>0</v>
      </c>
      <c r="N222" s="52">
        <f t="shared" si="24"/>
        <v>0</v>
      </c>
      <c r="O222" s="53">
        <f t="shared" si="25"/>
        <v>0</v>
      </c>
    </row>
    <row r="223" spans="1:18">
      <c r="A223" s="74">
        <v>49</v>
      </c>
      <c r="B223" s="46"/>
      <c r="C223" s="46" t="s">
        <v>115</v>
      </c>
      <c r="D223" s="55" t="s">
        <v>50</v>
      </c>
      <c r="E223" s="46">
        <v>3</v>
      </c>
      <c r="F223" s="47"/>
      <c r="G223" s="47"/>
      <c r="H223" s="54"/>
      <c r="I223" s="48"/>
      <c r="J223" s="49"/>
      <c r="K223" s="50">
        <v>0</v>
      </c>
      <c r="L223" s="51">
        <v>0</v>
      </c>
      <c r="M223" s="50">
        <f t="shared" si="23"/>
        <v>0</v>
      </c>
      <c r="N223" s="52">
        <f t="shared" si="24"/>
        <v>0</v>
      </c>
      <c r="O223" s="53">
        <f t="shared" si="25"/>
        <v>0</v>
      </c>
      <c r="Q223" s="60"/>
      <c r="R223" s="60"/>
    </row>
    <row r="224" spans="1:18">
      <c r="A224" s="74">
        <v>50</v>
      </c>
      <c r="B224" s="46"/>
      <c r="C224" s="46" t="s">
        <v>116</v>
      </c>
      <c r="D224" s="55" t="s">
        <v>50</v>
      </c>
      <c r="E224" s="46">
        <v>3</v>
      </c>
      <c r="F224" s="47"/>
      <c r="G224" s="47"/>
      <c r="H224" s="54"/>
      <c r="I224" s="48"/>
      <c r="J224" s="49"/>
      <c r="K224" s="50">
        <v>0</v>
      </c>
      <c r="L224" s="51">
        <v>0</v>
      </c>
      <c r="M224" s="50">
        <f t="shared" si="23"/>
        <v>0</v>
      </c>
      <c r="N224" s="52">
        <f t="shared" si="24"/>
        <v>0</v>
      </c>
      <c r="O224" s="53">
        <f t="shared" si="25"/>
        <v>0</v>
      </c>
      <c r="Q224" s="60"/>
      <c r="R224" s="60"/>
    </row>
    <row r="225" spans="1:19">
      <c r="A225" s="74">
        <v>51</v>
      </c>
      <c r="B225" s="46" t="str">
        <f>"0200000053"</f>
        <v>0200000053</v>
      </c>
      <c r="C225" s="46" t="s">
        <v>117</v>
      </c>
      <c r="D225" s="46" t="str">
        <f>"SC "</f>
        <v xml:space="preserve">SC </v>
      </c>
      <c r="E225" s="46">
        <v>24</v>
      </c>
      <c r="F225" s="47"/>
      <c r="G225" s="47"/>
      <c r="H225" s="54"/>
      <c r="I225" s="48"/>
      <c r="J225" s="49"/>
      <c r="K225" s="50">
        <v>0</v>
      </c>
      <c r="L225" s="51">
        <v>0</v>
      </c>
      <c r="M225" s="50">
        <f t="shared" si="23"/>
        <v>0</v>
      </c>
      <c r="N225" s="52">
        <f t="shared" si="24"/>
        <v>0</v>
      </c>
      <c r="O225" s="53">
        <f t="shared" si="25"/>
        <v>0</v>
      </c>
    </row>
    <row r="226" spans="1:19">
      <c r="A226" s="74">
        <v>52</v>
      </c>
      <c r="B226" s="46" t="str">
        <f>"0200000079"</f>
        <v>0200000079</v>
      </c>
      <c r="C226" s="46" t="s">
        <v>118</v>
      </c>
      <c r="D226" s="46" t="s">
        <v>34</v>
      </c>
      <c r="E226" s="46">
        <v>48</v>
      </c>
      <c r="F226" s="47"/>
      <c r="G226" s="47"/>
      <c r="H226" s="54"/>
      <c r="I226" s="48"/>
      <c r="J226" s="49"/>
      <c r="K226" s="50">
        <v>0</v>
      </c>
      <c r="L226" s="51">
        <v>0</v>
      </c>
      <c r="M226" s="50">
        <f t="shared" si="23"/>
        <v>0</v>
      </c>
      <c r="N226" s="52">
        <f t="shared" si="24"/>
        <v>0</v>
      </c>
      <c r="O226" s="53">
        <f t="shared" si="25"/>
        <v>0</v>
      </c>
    </row>
    <row r="227" spans="1:19">
      <c r="A227" s="74">
        <v>53</v>
      </c>
      <c r="B227" s="46" t="str">
        <f>"0200000054"</f>
        <v>0200000054</v>
      </c>
      <c r="C227" s="46" t="s">
        <v>119</v>
      </c>
      <c r="D227" s="46" t="str">
        <f>"SC "</f>
        <v xml:space="preserve">SC </v>
      </c>
      <c r="E227" s="46">
        <v>27</v>
      </c>
      <c r="F227" s="47"/>
      <c r="G227" s="47"/>
      <c r="H227" s="54"/>
      <c r="I227" s="48"/>
      <c r="J227" s="49"/>
      <c r="K227" s="50">
        <v>0</v>
      </c>
      <c r="L227" s="51">
        <v>0</v>
      </c>
      <c r="M227" s="50">
        <f t="shared" si="23"/>
        <v>0</v>
      </c>
      <c r="N227" s="52">
        <f t="shared" si="24"/>
        <v>0</v>
      </c>
      <c r="O227" s="53">
        <f t="shared" si="25"/>
        <v>0</v>
      </c>
    </row>
    <row r="228" spans="1:19">
      <c r="A228" s="74">
        <v>54</v>
      </c>
      <c r="B228" s="46" t="str">
        <f>"0200000055"</f>
        <v>0200000055</v>
      </c>
      <c r="C228" s="46" t="s">
        <v>120</v>
      </c>
      <c r="D228" s="46" t="str">
        <f>"SC "</f>
        <v xml:space="preserve">SC </v>
      </c>
      <c r="E228" s="46">
        <v>13</v>
      </c>
      <c r="F228" s="47"/>
      <c r="G228" s="47"/>
      <c r="H228" s="54"/>
      <c r="I228" s="48"/>
      <c r="J228" s="49"/>
      <c r="K228" s="50">
        <v>0</v>
      </c>
      <c r="L228" s="51">
        <v>0</v>
      </c>
      <c r="M228" s="50">
        <f t="shared" si="23"/>
        <v>0</v>
      </c>
      <c r="N228" s="52">
        <f t="shared" si="24"/>
        <v>0</v>
      </c>
      <c r="O228" s="53">
        <f t="shared" si="25"/>
        <v>0</v>
      </c>
    </row>
    <row r="229" spans="1:19">
      <c r="A229" s="74">
        <v>55</v>
      </c>
      <c r="B229" s="46" t="str">
        <f>"0200000056"</f>
        <v>0200000056</v>
      </c>
      <c r="C229" s="46" t="s">
        <v>121</v>
      </c>
      <c r="D229" s="46" t="str">
        <f>"SC "</f>
        <v xml:space="preserve">SC </v>
      </c>
      <c r="E229" s="46">
        <v>35</v>
      </c>
      <c r="F229" s="47"/>
      <c r="G229" s="47"/>
      <c r="H229" s="54"/>
      <c r="I229" s="48"/>
      <c r="J229" s="49"/>
      <c r="K229" s="50">
        <v>0</v>
      </c>
      <c r="L229" s="51">
        <v>0</v>
      </c>
      <c r="M229" s="50">
        <f t="shared" si="23"/>
        <v>0</v>
      </c>
      <c r="N229" s="52">
        <f t="shared" si="24"/>
        <v>0</v>
      </c>
      <c r="O229" s="53">
        <f t="shared" si="25"/>
        <v>0</v>
      </c>
    </row>
    <row r="230" spans="1:19">
      <c r="A230" s="74">
        <v>56</v>
      </c>
      <c r="B230" s="46" t="str">
        <f>"0200000057"</f>
        <v>0200000057</v>
      </c>
      <c r="C230" s="46" t="s">
        <v>122</v>
      </c>
      <c r="D230" s="46" t="str">
        <f>"SC "</f>
        <v xml:space="preserve">SC </v>
      </c>
      <c r="E230" s="46">
        <v>22</v>
      </c>
      <c r="F230" s="47"/>
      <c r="G230" s="47"/>
      <c r="H230" s="54"/>
      <c r="I230" s="48"/>
      <c r="J230" s="49"/>
      <c r="K230" s="50">
        <v>0</v>
      </c>
      <c r="L230" s="51">
        <v>0</v>
      </c>
      <c r="M230" s="50">
        <f t="shared" si="23"/>
        <v>0</v>
      </c>
      <c r="N230" s="52">
        <f t="shared" si="24"/>
        <v>0</v>
      </c>
      <c r="O230" s="53">
        <f t="shared" si="25"/>
        <v>0</v>
      </c>
    </row>
    <row r="231" spans="1:19">
      <c r="A231" s="74">
        <v>57</v>
      </c>
      <c r="B231" s="46" t="str">
        <f>"0202000030"</f>
        <v>0202000030</v>
      </c>
      <c r="C231" s="46" t="str">
        <f>"TREVICTA 175MG SUSP INJ       "</f>
        <v xml:space="preserve">TREVICTA 175MG SUSP INJ       </v>
      </c>
      <c r="D231" s="46" t="str">
        <f>"KOM"</f>
        <v>KOM</v>
      </c>
      <c r="E231" s="46">
        <v>1</v>
      </c>
      <c r="F231" s="47"/>
      <c r="G231" s="47"/>
      <c r="H231" s="54"/>
      <c r="I231" s="48"/>
      <c r="J231" s="49"/>
      <c r="K231" s="50">
        <v>0</v>
      </c>
      <c r="L231" s="51">
        <v>0</v>
      </c>
      <c r="M231" s="50">
        <f t="shared" si="23"/>
        <v>0</v>
      </c>
      <c r="N231" s="52">
        <f t="shared" si="24"/>
        <v>0</v>
      </c>
      <c r="O231" s="53">
        <f t="shared" si="25"/>
        <v>0</v>
      </c>
    </row>
    <row r="232" spans="1:19">
      <c r="A232" s="74">
        <v>58</v>
      </c>
      <c r="B232" s="46" t="str">
        <f>"0200000060"</f>
        <v>0200000060</v>
      </c>
      <c r="C232" s="46" t="s">
        <v>123</v>
      </c>
      <c r="D232" s="46" t="str">
        <f>"SC "</f>
        <v xml:space="preserve">SC </v>
      </c>
      <c r="E232" s="46">
        <v>1</v>
      </c>
      <c r="F232" s="47"/>
      <c r="G232" s="47"/>
      <c r="H232" s="54"/>
      <c r="I232" s="48"/>
      <c r="J232" s="49"/>
      <c r="K232" s="50">
        <v>0</v>
      </c>
      <c r="L232" s="51">
        <v>0</v>
      </c>
      <c r="M232" s="50">
        <f t="shared" si="23"/>
        <v>0</v>
      </c>
      <c r="N232" s="52">
        <f t="shared" si="24"/>
        <v>0</v>
      </c>
      <c r="O232" s="53">
        <f t="shared" si="25"/>
        <v>0</v>
      </c>
    </row>
    <row r="233" spans="1:19">
      <c r="A233" s="74">
        <v>59</v>
      </c>
      <c r="B233" s="46" t="str">
        <f>"0200000061"</f>
        <v>0200000061</v>
      </c>
      <c r="C233" s="55" t="s">
        <v>124</v>
      </c>
      <c r="D233" s="46" t="str">
        <f>"SC "</f>
        <v xml:space="preserve">SC </v>
      </c>
      <c r="E233" s="46">
        <v>10</v>
      </c>
      <c r="F233" s="47"/>
      <c r="G233" s="47"/>
      <c r="H233" s="54"/>
      <c r="I233" s="48"/>
      <c r="J233" s="49"/>
      <c r="K233" s="50">
        <v>0</v>
      </c>
      <c r="L233" s="51">
        <v>0</v>
      </c>
      <c r="M233" s="50">
        <f t="shared" si="23"/>
        <v>0</v>
      </c>
      <c r="N233" s="52">
        <f t="shared" si="24"/>
        <v>0</v>
      </c>
      <c r="O233" s="53">
        <f t="shared" si="25"/>
        <v>0</v>
      </c>
      <c r="Q233" s="60"/>
      <c r="R233" s="60"/>
      <c r="S233" s="60"/>
    </row>
    <row r="234" spans="1:19">
      <c r="A234" s="74">
        <v>60</v>
      </c>
      <c r="B234" s="46" t="str">
        <f>"0202000028"</f>
        <v>0202000028</v>
      </c>
      <c r="C234" s="46" t="str">
        <f>"XEPLION 50 MG SUSP INJ        "</f>
        <v xml:space="preserve">XEPLION 50 MG SUSP INJ        </v>
      </c>
      <c r="D234" s="46" t="str">
        <f>"KOM"</f>
        <v>KOM</v>
      </c>
      <c r="E234" s="46">
        <v>3</v>
      </c>
      <c r="F234" s="47"/>
      <c r="G234" s="47"/>
      <c r="H234" s="54"/>
      <c r="I234" s="48"/>
      <c r="J234" s="49"/>
      <c r="K234" s="50">
        <v>0</v>
      </c>
      <c r="L234" s="51">
        <v>0</v>
      </c>
      <c r="M234" s="50">
        <f t="shared" si="23"/>
        <v>0</v>
      </c>
      <c r="N234" s="52">
        <f t="shared" si="24"/>
        <v>0</v>
      </c>
      <c r="O234" s="53">
        <f t="shared" si="25"/>
        <v>0</v>
      </c>
    </row>
    <row r="235" spans="1:19">
      <c r="A235" s="74">
        <v>61</v>
      </c>
      <c r="B235" s="46" t="str">
        <f>"0200000063"</f>
        <v>0200000063</v>
      </c>
      <c r="C235" s="46" t="s">
        <v>125</v>
      </c>
      <c r="D235" s="46" t="str">
        <f>"SC "</f>
        <v xml:space="preserve">SC </v>
      </c>
      <c r="E235" s="46">
        <v>3</v>
      </c>
      <c r="F235" s="47"/>
      <c r="G235" s="47"/>
      <c r="H235" s="54"/>
      <c r="I235" s="48"/>
      <c r="J235" s="49"/>
      <c r="K235" s="50">
        <v>0</v>
      </c>
      <c r="L235" s="51">
        <v>0</v>
      </c>
      <c r="M235" s="50">
        <f t="shared" si="23"/>
        <v>0</v>
      </c>
      <c r="N235" s="52">
        <f t="shared" si="24"/>
        <v>0</v>
      </c>
      <c r="O235" s="53">
        <f t="shared" si="25"/>
        <v>0</v>
      </c>
    </row>
    <row r="236" spans="1:19">
      <c r="A236" s="75">
        <v>62</v>
      </c>
      <c r="B236" s="63" t="str">
        <f>"0200000064"</f>
        <v>0200000064</v>
      </c>
      <c r="C236" s="63" t="s">
        <v>126</v>
      </c>
      <c r="D236" s="63" t="str">
        <f>"SC "</f>
        <v xml:space="preserve">SC </v>
      </c>
      <c r="E236" s="63">
        <v>8</v>
      </c>
      <c r="F236" s="78"/>
      <c r="G236" s="78"/>
      <c r="H236" s="81"/>
      <c r="I236" s="66"/>
      <c r="J236" s="65"/>
      <c r="K236" s="67">
        <v>0</v>
      </c>
      <c r="L236" s="68">
        <v>0</v>
      </c>
      <c r="M236" s="67">
        <f t="shared" si="23"/>
        <v>0</v>
      </c>
      <c r="N236" s="69">
        <f t="shared" si="24"/>
        <v>0</v>
      </c>
      <c r="O236" s="70">
        <f t="shared" si="25"/>
        <v>0</v>
      </c>
    </row>
    <row r="237" spans="1:19" ht="15.75">
      <c r="A237" s="120" t="s">
        <v>46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71">
        <f>SUM(N175:N236)</f>
        <v>0</v>
      </c>
      <c r="O237" s="72">
        <f>SUM(O175:O236)</f>
        <v>0</v>
      </c>
    </row>
    <row r="238" spans="1:19" ht="15.75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80"/>
      <c r="O238" s="80"/>
    </row>
    <row r="239" spans="1:19">
      <c r="A239" s="18"/>
      <c r="B239" s="18"/>
      <c r="C239" s="19" t="s">
        <v>47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9">
      <c r="A240" s="18"/>
      <c r="B240" s="18"/>
      <c r="C240" s="19" t="s">
        <v>48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ht="20.25">
      <c r="A242" s="121" t="s">
        <v>127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1:15" ht="64.5">
      <c r="A243" s="24" t="s">
        <v>15</v>
      </c>
      <c r="B243" s="25" t="s">
        <v>16</v>
      </c>
      <c r="C243" s="25" t="s">
        <v>17</v>
      </c>
      <c r="D243" s="25" t="s">
        <v>18</v>
      </c>
      <c r="E243" s="26" t="s">
        <v>19</v>
      </c>
      <c r="F243" s="27" t="s">
        <v>20</v>
      </c>
      <c r="G243" s="27" t="s">
        <v>21</v>
      </c>
      <c r="H243" s="27" t="s">
        <v>22</v>
      </c>
      <c r="I243" s="27" t="s">
        <v>23</v>
      </c>
      <c r="J243" s="25" t="s">
        <v>24</v>
      </c>
      <c r="K243" s="28" t="s">
        <v>25</v>
      </c>
      <c r="L243" s="25" t="s">
        <v>26</v>
      </c>
      <c r="M243" s="28" t="s">
        <v>27</v>
      </c>
      <c r="N243" s="27" t="s">
        <v>28</v>
      </c>
      <c r="O243" s="29" t="s">
        <v>29</v>
      </c>
    </row>
    <row r="244" spans="1:15">
      <c r="A244" s="30">
        <v>1</v>
      </c>
      <c r="B244" s="31">
        <v>2</v>
      </c>
      <c r="C244" s="31">
        <v>3</v>
      </c>
      <c r="D244" s="31">
        <v>4</v>
      </c>
      <c r="E244" s="32">
        <v>5</v>
      </c>
      <c r="F244" s="31">
        <v>6</v>
      </c>
      <c r="G244" s="31">
        <v>7</v>
      </c>
      <c r="H244" s="31">
        <v>8</v>
      </c>
      <c r="I244" s="31">
        <v>9</v>
      </c>
      <c r="J244" s="31">
        <v>10</v>
      </c>
      <c r="K244" s="31">
        <v>11</v>
      </c>
      <c r="L244" s="31">
        <v>12</v>
      </c>
      <c r="M244" s="31">
        <v>13</v>
      </c>
      <c r="N244" s="31">
        <v>14</v>
      </c>
      <c r="O244" s="33">
        <v>15</v>
      </c>
    </row>
    <row r="245" spans="1:15">
      <c r="A245" s="73">
        <v>1</v>
      </c>
      <c r="B245" s="36" t="str">
        <f>"0100000103"</f>
        <v>0100000103</v>
      </c>
      <c r="C245" s="36" t="str">
        <f>"ALCAINE 0,5% KAP ZA OKO 15 ML "</f>
        <v xml:space="preserve">ALCAINE 0,5% KAP ZA OKO 15 ML </v>
      </c>
      <c r="D245" s="36" t="str">
        <f>"KOM"</f>
        <v>KOM</v>
      </c>
      <c r="E245" s="36">
        <v>6</v>
      </c>
      <c r="F245" s="37"/>
      <c r="G245" s="37"/>
      <c r="H245" s="38"/>
      <c r="I245" s="38"/>
      <c r="J245" s="39"/>
      <c r="K245" s="40">
        <v>0</v>
      </c>
      <c r="L245" s="41">
        <v>0</v>
      </c>
      <c r="M245" s="40">
        <f>+K245+L245*K245/100</f>
        <v>0</v>
      </c>
      <c r="N245" s="42">
        <f>+K245*E245</f>
        <v>0</v>
      </c>
      <c r="O245" s="43">
        <f>+M245*E245</f>
        <v>0</v>
      </c>
    </row>
    <row r="246" spans="1:15">
      <c r="A246" s="74">
        <v>2</v>
      </c>
      <c r="B246" s="46" t="str">
        <f>"0100000107"</f>
        <v>0100000107</v>
      </c>
      <c r="C246" s="46" t="str">
        <f>"CILOXAN KAPLJICE A 5 ML       "</f>
        <v xml:space="preserve">CILOXAN KAPLJICE A 5 ML       </v>
      </c>
      <c r="D246" s="46" t="str">
        <f>"KOM"</f>
        <v>KOM</v>
      </c>
      <c r="E246" s="46">
        <v>1</v>
      </c>
      <c r="F246" s="47"/>
      <c r="G246" s="47"/>
      <c r="H246" s="48"/>
      <c r="I246" s="48"/>
      <c r="J246" s="49"/>
      <c r="K246" s="50">
        <v>0</v>
      </c>
      <c r="L246" s="51">
        <v>0</v>
      </c>
      <c r="M246" s="50">
        <f>+K246+L246*K246/100</f>
        <v>0</v>
      </c>
      <c r="N246" s="52">
        <f>+K246*E246</f>
        <v>0</v>
      </c>
      <c r="O246" s="53">
        <f>+M246*E246</f>
        <v>0</v>
      </c>
    </row>
    <row r="247" spans="1:15">
      <c r="A247" s="74">
        <v>3</v>
      </c>
      <c r="B247" s="55" t="str">
        <f>"0100000135"</f>
        <v>0100000135</v>
      </c>
      <c r="C247" s="46" t="s">
        <v>128</v>
      </c>
      <c r="D247" s="46" t="s">
        <v>50</v>
      </c>
      <c r="E247" s="46">
        <v>10</v>
      </c>
      <c r="F247" s="47"/>
      <c r="G247" s="47"/>
      <c r="H247" s="48"/>
      <c r="I247" s="48"/>
      <c r="J247" s="49"/>
      <c r="K247" s="50">
        <v>0</v>
      </c>
      <c r="L247" s="51">
        <v>0</v>
      </c>
      <c r="M247" s="50">
        <f>+K247+L247*K247/100</f>
        <v>0</v>
      </c>
      <c r="N247" s="52">
        <f>+K247*E247</f>
        <v>0</v>
      </c>
      <c r="O247" s="53">
        <f>+M247*E247</f>
        <v>0</v>
      </c>
    </row>
    <row r="248" spans="1:15">
      <c r="A248" s="75">
        <v>4</v>
      </c>
      <c r="B248" s="88" t="str">
        <f>"0100000095"</f>
        <v>0100000095</v>
      </c>
      <c r="C248" s="88" t="s">
        <v>129</v>
      </c>
      <c r="D248" s="88" t="s">
        <v>50</v>
      </c>
      <c r="E248" s="88">
        <v>4</v>
      </c>
      <c r="F248" s="78"/>
      <c r="G248" s="78"/>
      <c r="H248" s="66"/>
      <c r="I248" s="66"/>
      <c r="J248" s="65"/>
      <c r="K248" s="67">
        <v>0</v>
      </c>
      <c r="L248" s="68">
        <v>0</v>
      </c>
      <c r="M248" s="67">
        <f>+K248+L248*K248/100</f>
        <v>0</v>
      </c>
      <c r="N248" s="69">
        <f>+K248*E248</f>
        <v>0</v>
      </c>
      <c r="O248" s="70">
        <f>+M248*E248</f>
        <v>0</v>
      </c>
    </row>
    <row r="249" spans="1:15" ht="15.75">
      <c r="A249" s="120" t="s">
        <v>46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71">
        <f>SUM(N245:N248)</f>
        <v>0</v>
      </c>
      <c r="O249" s="72">
        <f>SUM(O245:O248)</f>
        <v>0</v>
      </c>
    </row>
    <row r="250" spans="1:15" ht="15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80"/>
      <c r="O250" s="80"/>
    </row>
    <row r="251" spans="1:15">
      <c r="A251" s="18"/>
      <c r="B251" s="18"/>
      <c r="C251" s="19" t="s">
        <v>47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>
      <c r="A252" s="18"/>
      <c r="B252" s="18"/>
      <c r="C252" s="19" t="s">
        <v>48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ht="20.25">
      <c r="A254" s="121" t="s">
        <v>130</v>
      </c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1:15" ht="64.5">
      <c r="A255" s="24" t="s">
        <v>15</v>
      </c>
      <c r="B255" s="25" t="s">
        <v>16</v>
      </c>
      <c r="C255" s="25" t="s">
        <v>17</v>
      </c>
      <c r="D255" s="25" t="s">
        <v>18</v>
      </c>
      <c r="E255" s="26" t="s">
        <v>19</v>
      </c>
      <c r="F255" s="27" t="s">
        <v>20</v>
      </c>
      <c r="G255" s="27" t="s">
        <v>21</v>
      </c>
      <c r="H255" s="27" t="s">
        <v>22</v>
      </c>
      <c r="I255" s="27" t="s">
        <v>23</v>
      </c>
      <c r="J255" s="25" t="s">
        <v>24</v>
      </c>
      <c r="K255" s="28" t="s">
        <v>25</v>
      </c>
      <c r="L255" s="25" t="s">
        <v>26</v>
      </c>
      <c r="M255" s="28" t="s">
        <v>27</v>
      </c>
      <c r="N255" s="27" t="s">
        <v>28</v>
      </c>
      <c r="O255" s="29" t="s">
        <v>29</v>
      </c>
    </row>
    <row r="256" spans="1:15">
      <c r="A256" s="30">
        <v>1</v>
      </c>
      <c r="B256" s="31">
        <v>2</v>
      </c>
      <c r="C256" s="31">
        <v>3</v>
      </c>
      <c r="D256" s="31">
        <v>4</v>
      </c>
      <c r="E256" s="32">
        <v>5</v>
      </c>
      <c r="F256" s="31">
        <v>6</v>
      </c>
      <c r="G256" s="31">
        <v>7</v>
      </c>
      <c r="H256" s="31">
        <v>8</v>
      </c>
      <c r="I256" s="31">
        <v>9</v>
      </c>
      <c r="J256" s="31">
        <v>10</v>
      </c>
      <c r="K256" s="31">
        <v>11</v>
      </c>
      <c r="L256" s="31">
        <v>12</v>
      </c>
      <c r="M256" s="31">
        <v>13</v>
      </c>
      <c r="N256" s="31">
        <v>14</v>
      </c>
      <c r="O256" s="33">
        <v>15</v>
      </c>
    </row>
    <row r="257" spans="1:15">
      <c r="A257" s="73">
        <v>1</v>
      </c>
      <c r="B257" s="36" t="str">
        <f>"0100000138"</f>
        <v>0100000138</v>
      </c>
      <c r="C257" s="36" t="str">
        <f>"ACIPAN 40 MG                  "</f>
        <v xml:space="preserve">ACIPAN 40 MG                  </v>
      </c>
      <c r="D257" s="36" t="str">
        <f>"KOM"</f>
        <v>KOM</v>
      </c>
      <c r="E257" s="36">
        <v>183</v>
      </c>
      <c r="F257" s="37"/>
      <c r="G257" s="37"/>
      <c r="H257" s="38"/>
      <c r="I257" s="38"/>
      <c r="J257" s="39"/>
      <c r="K257" s="40">
        <v>0</v>
      </c>
      <c r="L257" s="41">
        <v>0</v>
      </c>
      <c r="M257" s="40">
        <f t="shared" ref="M257:M263" si="26">+K257+L257*K257/100</f>
        <v>0</v>
      </c>
      <c r="N257" s="42">
        <f t="shared" ref="N257:N263" si="27">+K257*E257</f>
        <v>0</v>
      </c>
      <c r="O257" s="43">
        <f t="shared" ref="O257:O263" si="28">+M257*E257</f>
        <v>0</v>
      </c>
    </row>
    <row r="258" spans="1:15">
      <c r="A258" s="74">
        <v>2</v>
      </c>
      <c r="B258" s="46" t="str">
        <f>"0200000133"</f>
        <v>0200000133</v>
      </c>
      <c r="C258" s="46" t="s">
        <v>131</v>
      </c>
      <c r="D258" s="46" t="s">
        <v>34</v>
      </c>
      <c r="E258" s="46">
        <v>11</v>
      </c>
      <c r="F258" s="47"/>
      <c r="G258" s="47"/>
      <c r="H258" s="48"/>
      <c r="I258" s="48"/>
      <c r="J258" s="49"/>
      <c r="K258" s="50">
        <v>0</v>
      </c>
      <c r="L258" s="51">
        <v>0</v>
      </c>
      <c r="M258" s="50">
        <f t="shared" si="26"/>
        <v>0</v>
      </c>
      <c r="N258" s="52">
        <f t="shared" si="27"/>
        <v>0</v>
      </c>
      <c r="O258" s="53">
        <f t="shared" si="28"/>
        <v>0</v>
      </c>
    </row>
    <row r="259" spans="1:15">
      <c r="A259" s="74">
        <v>3</v>
      </c>
      <c r="B259" s="46" t="str">
        <f>"0200000156"</f>
        <v>0200000156</v>
      </c>
      <c r="C259" s="46" t="s">
        <v>132</v>
      </c>
      <c r="D259" s="46" t="s">
        <v>34</v>
      </c>
      <c r="E259" s="46">
        <v>3</v>
      </c>
      <c r="F259" s="47"/>
      <c r="G259" s="47"/>
      <c r="H259" s="48"/>
      <c r="I259" s="48"/>
      <c r="J259" s="49"/>
      <c r="K259" s="50">
        <v>0</v>
      </c>
      <c r="L259" s="51">
        <v>0</v>
      </c>
      <c r="M259" s="50">
        <f t="shared" si="26"/>
        <v>0</v>
      </c>
      <c r="N259" s="52">
        <f t="shared" si="27"/>
        <v>0</v>
      </c>
      <c r="O259" s="53">
        <f t="shared" si="28"/>
        <v>0</v>
      </c>
    </row>
    <row r="260" spans="1:15" ht="14.25" customHeight="1">
      <c r="A260" s="74">
        <v>4</v>
      </c>
      <c r="B260" s="46" t="str">
        <f>"0200000195"</f>
        <v>0200000195</v>
      </c>
      <c r="C260" s="46" t="s">
        <v>133</v>
      </c>
      <c r="D260" s="46" t="s">
        <v>34</v>
      </c>
      <c r="E260" s="46">
        <v>2</v>
      </c>
      <c r="F260" s="47"/>
      <c r="G260" s="47"/>
      <c r="H260" s="48"/>
      <c r="I260" s="48"/>
      <c r="J260" s="49"/>
      <c r="K260" s="50">
        <v>0</v>
      </c>
      <c r="L260" s="51">
        <v>0</v>
      </c>
      <c r="M260" s="50">
        <f t="shared" si="26"/>
        <v>0</v>
      </c>
      <c r="N260" s="52">
        <f t="shared" si="27"/>
        <v>0</v>
      </c>
      <c r="O260" s="53">
        <f t="shared" si="28"/>
        <v>0</v>
      </c>
    </row>
    <row r="261" spans="1:15">
      <c r="A261" s="74">
        <v>5</v>
      </c>
      <c r="B261" s="46" t="str">
        <f>"0100000233"</f>
        <v>0100000233</v>
      </c>
      <c r="C261" s="46" t="s">
        <v>134</v>
      </c>
      <c r="D261" s="46" t="s">
        <v>34</v>
      </c>
      <c r="E261" s="46">
        <v>3</v>
      </c>
      <c r="F261" s="47"/>
      <c r="G261" s="47"/>
      <c r="H261" s="48"/>
      <c r="I261" s="48"/>
      <c r="J261" s="49"/>
      <c r="K261" s="50">
        <v>0</v>
      </c>
      <c r="L261" s="51">
        <v>0</v>
      </c>
      <c r="M261" s="50">
        <f t="shared" si="26"/>
        <v>0</v>
      </c>
      <c r="N261" s="52">
        <f t="shared" si="27"/>
        <v>0</v>
      </c>
      <c r="O261" s="53">
        <f t="shared" si="28"/>
        <v>0</v>
      </c>
    </row>
    <row r="262" spans="1:15">
      <c r="A262" s="74">
        <v>6</v>
      </c>
      <c r="B262" s="46" t="str">
        <f>"0201000009"</f>
        <v>0201000009</v>
      </c>
      <c r="C262" s="46" t="str">
        <f>"SYNAGIS 100 MG                "</f>
        <v xml:space="preserve">SYNAGIS 100 MG                </v>
      </c>
      <c r="D262" s="46" t="str">
        <f>"KOM"</f>
        <v>KOM</v>
      </c>
      <c r="E262" s="46">
        <v>9</v>
      </c>
      <c r="F262" s="47"/>
      <c r="G262" s="47"/>
      <c r="H262" s="48"/>
      <c r="I262" s="48"/>
      <c r="J262" s="49"/>
      <c r="K262" s="50">
        <v>0</v>
      </c>
      <c r="L262" s="51">
        <v>0</v>
      </c>
      <c r="M262" s="50">
        <f t="shared" si="26"/>
        <v>0</v>
      </c>
      <c r="N262" s="52">
        <f t="shared" si="27"/>
        <v>0</v>
      </c>
      <c r="O262" s="53">
        <f t="shared" si="28"/>
        <v>0</v>
      </c>
    </row>
    <row r="263" spans="1:15">
      <c r="A263" s="75">
        <v>7</v>
      </c>
      <c r="B263" s="63" t="str">
        <f>"0201000012"</f>
        <v>0201000012</v>
      </c>
      <c r="C263" s="63" t="str">
        <f>"SYNAGIS 50MG                  "</f>
        <v xml:space="preserve">SYNAGIS 50MG                  </v>
      </c>
      <c r="D263" s="63" t="str">
        <f>"KOM"</f>
        <v>KOM</v>
      </c>
      <c r="E263" s="63">
        <v>1</v>
      </c>
      <c r="F263" s="78"/>
      <c r="G263" s="78"/>
      <c r="H263" s="66"/>
      <c r="I263" s="66"/>
      <c r="J263" s="65"/>
      <c r="K263" s="67">
        <v>0</v>
      </c>
      <c r="L263" s="68">
        <v>0</v>
      </c>
      <c r="M263" s="67">
        <f t="shared" si="26"/>
        <v>0</v>
      </c>
      <c r="N263" s="69">
        <f t="shared" si="27"/>
        <v>0</v>
      </c>
      <c r="O263" s="70">
        <f t="shared" si="28"/>
        <v>0</v>
      </c>
    </row>
    <row r="264" spans="1:15" ht="15.75">
      <c r="A264" s="120" t="s">
        <v>46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71">
        <f>SUM(N257:N263)</f>
        <v>0</v>
      </c>
      <c r="O264" s="72">
        <f>SUM(O257:O263)</f>
        <v>0</v>
      </c>
    </row>
    <row r="265" spans="1:15" ht="15.7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80"/>
      <c r="O265" s="80"/>
    </row>
    <row r="266" spans="1:15">
      <c r="A266" s="18"/>
      <c r="B266" s="18"/>
      <c r="C266" s="19" t="s">
        <v>47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>
      <c r="A267" s="18"/>
      <c r="B267" s="18"/>
      <c r="C267" s="19" t="s">
        <v>48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ht="20.25">
      <c r="A269" s="121" t="s">
        <v>135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1:15" ht="64.5">
      <c r="A270" s="24" t="s">
        <v>15</v>
      </c>
      <c r="B270" s="25" t="s">
        <v>16</v>
      </c>
      <c r="C270" s="25" t="s">
        <v>17</v>
      </c>
      <c r="D270" s="25" t="s">
        <v>18</v>
      </c>
      <c r="E270" s="26" t="s">
        <v>19</v>
      </c>
      <c r="F270" s="27" t="s">
        <v>20</v>
      </c>
      <c r="G270" s="27" t="s">
        <v>21</v>
      </c>
      <c r="H270" s="27" t="s">
        <v>22</v>
      </c>
      <c r="I270" s="27" t="s">
        <v>23</v>
      </c>
      <c r="J270" s="25" t="s">
        <v>24</v>
      </c>
      <c r="K270" s="28" t="s">
        <v>25</v>
      </c>
      <c r="L270" s="25" t="s">
        <v>26</v>
      </c>
      <c r="M270" s="28" t="s">
        <v>27</v>
      </c>
      <c r="N270" s="27" t="s">
        <v>28</v>
      </c>
      <c r="O270" s="29" t="s">
        <v>29</v>
      </c>
    </row>
    <row r="271" spans="1:15">
      <c r="A271" s="30">
        <v>1</v>
      </c>
      <c r="B271" s="31">
        <v>2</v>
      </c>
      <c r="C271" s="31">
        <v>3</v>
      </c>
      <c r="D271" s="31">
        <v>4</v>
      </c>
      <c r="E271" s="32">
        <v>5</v>
      </c>
      <c r="F271" s="31">
        <v>6</v>
      </c>
      <c r="G271" s="31">
        <v>7</v>
      </c>
      <c r="H271" s="31">
        <v>8</v>
      </c>
      <c r="I271" s="31">
        <v>9</v>
      </c>
      <c r="J271" s="31">
        <v>10</v>
      </c>
      <c r="K271" s="31">
        <v>11</v>
      </c>
      <c r="L271" s="31">
        <v>12</v>
      </c>
      <c r="M271" s="31">
        <v>13</v>
      </c>
      <c r="N271" s="31">
        <v>14</v>
      </c>
      <c r="O271" s="33">
        <v>15</v>
      </c>
    </row>
    <row r="272" spans="1:15">
      <c r="A272" s="73">
        <v>1</v>
      </c>
      <c r="B272" s="36" t="str">
        <f>"0100000202"</f>
        <v>0100000202</v>
      </c>
      <c r="C272" s="36" t="str">
        <f>"ALERGEN HISTAMINE POZ.        "</f>
        <v xml:space="preserve">ALERGEN HISTAMINE POZ.        </v>
      </c>
      <c r="D272" s="36" t="str">
        <f t="shared" ref="D272:D284" si="29">"KOM"</f>
        <v>KOM</v>
      </c>
      <c r="E272" s="36">
        <v>1</v>
      </c>
      <c r="F272" s="37"/>
      <c r="G272" s="37"/>
      <c r="H272" s="38"/>
      <c r="I272" s="38"/>
      <c r="J272" s="39"/>
      <c r="K272" s="40">
        <v>0</v>
      </c>
      <c r="L272" s="41">
        <v>0</v>
      </c>
      <c r="M272" s="40">
        <f t="shared" ref="M272:M284" si="30">+K272+L272*K272/100</f>
        <v>0</v>
      </c>
      <c r="N272" s="42">
        <f t="shared" ref="N272:N284" si="31">+K272*E272</f>
        <v>0</v>
      </c>
      <c r="O272" s="43">
        <f t="shared" ref="O272:O284" si="32">+M272*E272</f>
        <v>0</v>
      </c>
    </row>
    <row r="273" spans="1:15">
      <c r="A273" s="74">
        <v>2</v>
      </c>
      <c r="B273" s="46" t="str">
        <f>"0100000162"</f>
        <v>0100000162</v>
      </c>
      <c r="C273" s="46" t="s">
        <v>136</v>
      </c>
      <c r="D273" s="46" t="str">
        <f t="shared" si="29"/>
        <v>KOM</v>
      </c>
      <c r="E273" s="46">
        <v>1</v>
      </c>
      <c r="F273" s="47"/>
      <c r="G273" s="47"/>
      <c r="H273" s="48"/>
      <c r="I273" s="48"/>
      <c r="J273" s="49"/>
      <c r="K273" s="50">
        <v>0</v>
      </c>
      <c r="L273" s="51">
        <v>0</v>
      </c>
      <c r="M273" s="50">
        <f t="shared" si="30"/>
        <v>0</v>
      </c>
      <c r="N273" s="52">
        <f t="shared" si="31"/>
        <v>0</v>
      </c>
      <c r="O273" s="53">
        <f t="shared" si="32"/>
        <v>0</v>
      </c>
    </row>
    <row r="274" spans="1:15">
      <c r="A274" s="74">
        <v>3</v>
      </c>
      <c r="B274" s="46" t="str">
        <f>"0100000163"</f>
        <v>0100000163</v>
      </c>
      <c r="C274" s="46" t="s">
        <v>137</v>
      </c>
      <c r="D274" s="46" t="str">
        <f t="shared" si="29"/>
        <v>KOM</v>
      </c>
      <c r="E274" s="46">
        <v>1</v>
      </c>
      <c r="F274" s="47"/>
      <c r="G274" s="47"/>
      <c r="H274" s="48"/>
      <c r="I274" s="48"/>
      <c r="J274" s="49"/>
      <c r="K274" s="50">
        <v>0</v>
      </c>
      <c r="L274" s="51">
        <v>0</v>
      </c>
      <c r="M274" s="50">
        <f t="shared" si="30"/>
        <v>0</v>
      </c>
      <c r="N274" s="52">
        <f t="shared" si="31"/>
        <v>0</v>
      </c>
      <c r="O274" s="53">
        <f t="shared" si="32"/>
        <v>0</v>
      </c>
    </row>
    <row r="275" spans="1:15">
      <c r="A275" s="74">
        <v>4</v>
      </c>
      <c r="B275" s="46" t="str">
        <f>"0100000165"</f>
        <v>0100000165</v>
      </c>
      <c r="C275" s="46" t="s">
        <v>138</v>
      </c>
      <c r="D275" s="46" t="str">
        <f t="shared" si="29"/>
        <v>KOM</v>
      </c>
      <c r="E275" s="46">
        <v>1</v>
      </c>
      <c r="F275" s="47"/>
      <c r="G275" s="47"/>
      <c r="H275" s="48"/>
      <c r="I275" s="48"/>
      <c r="J275" s="49"/>
      <c r="K275" s="50">
        <v>0</v>
      </c>
      <c r="L275" s="51">
        <v>0</v>
      </c>
      <c r="M275" s="50">
        <f t="shared" si="30"/>
        <v>0</v>
      </c>
      <c r="N275" s="52">
        <f t="shared" si="31"/>
        <v>0</v>
      </c>
      <c r="O275" s="53">
        <f t="shared" si="32"/>
        <v>0</v>
      </c>
    </row>
    <row r="276" spans="1:15">
      <c r="A276" s="74">
        <v>5</v>
      </c>
      <c r="B276" s="46" t="str">
        <f>"0100000167"</f>
        <v>0100000167</v>
      </c>
      <c r="C276" s="46" t="s">
        <v>139</v>
      </c>
      <c r="D276" s="46" t="str">
        <f t="shared" si="29"/>
        <v>KOM</v>
      </c>
      <c r="E276" s="46">
        <v>1</v>
      </c>
      <c r="F276" s="47"/>
      <c r="G276" s="47"/>
      <c r="H276" s="48"/>
      <c r="I276" s="48"/>
      <c r="J276" s="49"/>
      <c r="K276" s="50">
        <v>0</v>
      </c>
      <c r="L276" s="51">
        <v>0</v>
      </c>
      <c r="M276" s="50">
        <f t="shared" si="30"/>
        <v>0</v>
      </c>
      <c r="N276" s="52">
        <f t="shared" si="31"/>
        <v>0</v>
      </c>
      <c r="O276" s="53">
        <f t="shared" si="32"/>
        <v>0</v>
      </c>
    </row>
    <row r="277" spans="1:15">
      <c r="A277" s="74">
        <v>6</v>
      </c>
      <c r="B277" s="46" t="str">
        <f>"0100000168"</f>
        <v>0100000168</v>
      </c>
      <c r="C277" s="46" t="s">
        <v>140</v>
      </c>
      <c r="D277" s="46" t="str">
        <f t="shared" si="29"/>
        <v>KOM</v>
      </c>
      <c r="E277" s="46">
        <v>1</v>
      </c>
      <c r="F277" s="47"/>
      <c r="G277" s="47"/>
      <c r="H277" s="48"/>
      <c r="I277" s="48"/>
      <c r="J277" s="49"/>
      <c r="K277" s="50">
        <v>0</v>
      </c>
      <c r="L277" s="51">
        <v>0</v>
      </c>
      <c r="M277" s="50">
        <f t="shared" si="30"/>
        <v>0</v>
      </c>
      <c r="N277" s="52">
        <f t="shared" si="31"/>
        <v>0</v>
      </c>
      <c r="O277" s="53">
        <f t="shared" si="32"/>
        <v>0</v>
      </c>
    </row>
    <row r="278" spans="1:15">
      <c r="A278" s="74">
        <v>7</v>
      </c>
      <c r="B278" s="46" t="str">
        <f>"0100000169"</f>
        <v>0100000169</v>
      </c>
      <c r="C278" s="46" t="s">
        <v>141</v>
      </c>
      <c r="D278" s="46" t="str">
        <f t="shared" si="29"/>
        <v>KOM</v>
      </c>
      <c r="E278" s="46">
        <v>2</v>
      </c>
      <c r="F278" s="47"/>
      <c r="G278" s="47"/>
      <c r="H278" s="48"/>
      <c r="I278" s="48"/>
      <c r="J278" s="49"/>
      <c r="K278" s="50">
        <v>0</v>
      </c>
      <c r="L278" s="51">
        <v>0</v>
      </c>
      <c r="M278" s="50">
        <f t="shared" si="30"/>
        <v>0</v>
      </c>
      <c r="N278" s="52">
        <f t="shared" si="31"/>
        <v>0</v>
      </c>
      <c r="O278" s="53">
        <f t="shared" si="32"/>
        <v>0</v>
      </c>
    </row>
    <row r="279" spans="1:15">
      <c r="A279" s="74">
        <v>8</v>
      </c>
      <c r="B279" s="46" t="str">
        <f>"0100000176"</f>
        <v>0100000176</v>
      </c>
      <c r="C279" s="46" t="s">
        <v>142</v>
      </c>
      <c r="D279" s="46" t="str">
        <f t="shared" si="29"/>
        <v>KOM</v>
      </c>
      <c r="E279" s="46">
        <v>1</v>
      </c>
      <c r="F279" s="47"/>
      <c r="G279" s="47"/>
      <c r="H279" s="48"/>
      <c r="I279" s="48"/>
      <c r="J279" s="49"/>
      <c r="K279" s="50">
        <v>0</v>
      </c>
      <c r="L279" s="51">
        <v>0</v>
      </c>
      <c r="M279" s="50">
        <f t="shared" si="30"/>
        <v>0</v>
      </c>
      <c r="N279" s="52">
        <f t="shared" si="31"/>
        <v>0</v>
      </c>
      <c r="O279" s="53">
        <f t="shared" si="32"/>
        <v>0</v>
      </c>
    </row>
    <row r="280" spans="1:15">
      <c r="A280" s="74">
        <v>9</v>
      </c>
      <c r="B280" s="46" t="str">
        <f>"0100000178"</f>
        <v>0100000178</v>
      </c>
      <c r="C280" s="46" t="s">
        <v>143</v>
      </c>
      <c r="D280" s="46" t="str">
        <f t="shared" si="29"/>
        <v>KOM</v>
      </c>
      <c r="E280" s="46">
        <v>1</v>
      </c>
      <c r="F280" s="47"/>
      <c r="G280" s="47"/>
      <c r="H280" s="48"/>
      <c r="I280" s="48"/>
      <c r="J280" s="49"/>
      <c r="K280" s="50">
        <v>0</v>
      </c>
      <c r="L280" s="51">
        <v>0</v>
      </c>
      <c r="M280" s="50">
        <f t="shared" si="30"/>
        <v>0</v>
      </c>
      <c r="N280" s="52">
        <f t="shared" si="31"/>
        <v>0</v>
      </c>
      <c r="O280" s="53">
        <f t="shared" si="32"/>
        <v>0</v>
      </c>
    </row>
    <row r="281" spans="1:15">
      <c r="A281" s="74">
        <v>10</v>
      </c>
      <c r="B281" s="46" t="str">
        <f>"0100000179"</f>
        <v>0100000179</v>
      </c>
      <c r="C281" s="46" t="s">
        <v>144</v>
      </c>
      <c r="D281" s="46" t="str">
        <f t="shared" si="29"/>
        <v>KOM</v>
      </c>
      <c r="E281" s="46">
        <v>1</v>
      </c>
      <c r="F281" s="47"/>
      <c r="G281" s="47"/>
      <c r="H281" s="48"/>
      <c r="I281" s="48"/>
      <c r="J281" s="49"/>
      <c r="K281" s="50">
        <v>0</v>
      </c>
      <c r="L281" s="51">
        <v>0</v>
      </c>
      <c r="M281" s="50">
        <f t="shared" si="30"/>
        <v>0</v>
      </c>
      <c r="N281" s="52">
        <f t="shared" si="31"/>
        <v>0</v>
      </c>
      <c r="O281" s="53">
        <f t="shared" si="32"/>
        <v>0</v>
      </c>
    </row>
    <row r="282" spans="1:15">
      <c r="A282" s="74">
        <v>11</v>
      </c>
      <c r="B282" s="46" t="str">
        <f>"0100000180"</f>
        <v>0100000180</v>
      </c>
      <c r="C282" s="46" t="s">
        <v>145</v>
      </c>
      <c r="D282" s="46" t="str">
        <f t="shared" si="29"/>
        <v>KOM</v>
      </c>
      <c r="E282" s="46">
        <v>1</v>
      </c>
      <c r="F282" s="47"/>
      <c r="G282" s="47"/>
      <c r="H282" s="48"/>
      <c r="I282" s="48"/>
      <c r="J282" s="49"/>
      <c r="K282" s="50">
        <v>0</v>
      </c>
      <c r="L282" s="51">
        <v>0</v>
      </c>
      <c r="M282" s="50">
        <f t="shared" si="30"/>
        <v>0</v>
      </c>
      <c r="N282" s="52">
        <f t="shared" si="31"/>
        <v>0</v>
      </c>
      <c r="O282" s="53">
        <f t="shared" si="32"/>
        <v>0</v>
      </c>
    </row>
    <row r="283" spans="1:15">
      <c r="A283" s="74">
        <v>12</v>
      </c>
      <c r="B283" s="46" t="str">
        <f>"0100000181"</f>
        <v>0100000181</v>
      </c>
      <c r="C283" s="46" t="s">
        <v>146</v>
      </c>
      <c r="D283" s="46" t="str">
        <f t="shared" si="29"/>
        <v>KOM</v>
      </c>
      <c r="E283" s="46">
        <v>1</v>
      </c>
      <c r="F283" s="47"/>
      <c r="G283" s="47"/>
      <c r="H283" s="48"/>
      <c r="I283" s="48"/>
      <c r="J283" s="49"/>
      <c r="K283" s="50">
        <v>0</v>
      </c>
      <c r="L283" s="51">
        <v>0</v>
      </c>
      <c r="M283" s="50">
        <f t="shared" si="30"/>
        <v>0</v>
      </c>
      <c r="N283" s="52">
        <f t="shared" si="31"/>
        <v>0</v>
      </c>
      <c r="O283" s="53">
        <f t="shared" si="32"/>
        <v>0</v>
      </c>
    </row>
    <row r="284" spans="1:15">
      <c r="A284" s="75">
        <v>13</v>
      </c>
      <c r="B284" s="63" t="str">
        <f>"0100000182"</f>
        <v>0100000182</v>
      </c>
      <c r="C284" s="63" t="s">
        <v>147</v>
      </c>
      <c r="D284" s="63" t="str">
        <f t="shared" si="29"/>
        <v>KOM</v>
      </c>
      <c r="E284" s="63">
        <v>1</v>
      </c>
      <c r="F284" s="78"/>
      <c r="G284" s="78"/>
      <c r="H284" s="66"/>
      <c r="I284" s="66"/>
      <c r="J284" s="65"/>
      <c r="K284" s="67">
        <v>0</v>
      </c>
      <c r="L284" s="68">
        <v>0</v>
      </c>
      <c r="M284" s="67">
        <f t="shared" si="30"/>
        <v>0</v>
      </c>
      <c r="N284" s="69">
        <f t="shared" si="31"/>
        <v>0</v>
      </c>
      <c r="O284" s="70">
        <f t="shared" si="32"/>
        <v>0</v>
      </c>
    </row>
    <row r="285" spans="1:15" ht="15.75">
      <c r="A285" s="120" t="s">
        <v>46</v>
      </c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71">
        <f>SUM(N272:N284)</f>
        <v>0</v>
      </c>
      <c r="O285" s="72">
        <f>SUM(O272:O284)</f>
        <v>0</v>
      </c>
    </row>
    <row r="286" spans="1:15" ht="15.75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80"/>
      <c r="O286" s="80"/>
    </row>
    <row r="287" spans="1:15">
      <c r="A287" s="18"/>
      <c r="B287" s="18"/>
      <c r="C287" s="19" t="s">
        <v>47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>
      <c r="A288" s="18"/>
      <c r="B288" s="18"/>
      <c r="C288" s="19" t="s">
        <v>48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1:15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ht="20.25">
      <c r="A290" s="121" t="s">
        <v>148</v>
      </c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1:15" ht="64.5">
      <c r="A291" s="24" t="s">
        <v>15</v>
      </c>
      <c r="B291" s="25" t="s">
        <v>16</v>
      </c>
      <c r="C291" s="25" t="s">
        <v>17</v>
      </c>
      <c r="D291" s="25" t="s">
        <v>18</v>
      </c>
      <c r="E291" s="26" t="s">
        <v>19</v>
      </c>
      <c r="F291" s="27" t="s">
        <v>20</v>
      </c>
      <c r="G291" s="27" t="s">
        <v>21</v>
      </c>
      <c r="H291" s="27" t="s">
        <v>22</v>
      </c>
      <c r="I291" s="27" t="s">
        <v>23</v>
      </c>
      <c r="J291" s="25" t="s">
        <v>24</v>
      </c>
      <c r="K291" s="28" t="s">
        <v>25</v>
      </c>
      <c r="L291" s="25" t="s">
        <v>26</v>
      </c>
      <c r="M291" s="28" t="s">
        <v>27</v>
      </c>
      <c r="N291" s="27" t="s">
        <v>28</v>
      </c>
      <c r="O291" s="29" t="s">
        <v>29</v>
      </c>
    </row>
    <row r="292" spans="1:15">
      <c r="A292" s="30">
        <v>1</v>
      </c>
      <c r="B292" s="31">
        <v>2</v>
      </c>
      <c r="C292" s="31">
        <v>3</v>
      </c>
      <c r="D292" s="31">
        <v>4</v>
      </c>
      <c r="E292" s="32">
        <v>5</v>
      </c>
      <c r="F292" s="31">
        <v>6</v>
      </c>
      <c r="G292" s="31">
        <v>7</v>
      </c>
      <c r="H292" s="31">
        <v>8</v>
      </c>
      <c r="I292" s="31">
        <v>9</v>
      </c>
      <c r="J292" s="31">
        <v>10</v>
      </c>
      <c r="K292" s="31">
        <v>11</v>
      </c>
      <c r="L292" s="31">
        <v>12</v>
      </c>
      <c r="M292" s="31">
        <v>13</v>
      </c>
      <c r="N292" s="31">
        <v>14</v>
      </c>
      <c r="O292" s="33">
        <v>15</v>
      </c>
    </row>
    <row r="293" spans="1:15">
      <c r="A293" s="73">
        <v>1</v>
      </c>
      <c r="B293" s="89">
        <v>1028000033</v>
      </c>
      <c r="C293" s="36" t="s">
        <v>149</v>
      </c>
      <c r="D293" s="90" t="s">
        <v>150</v>
      </c>
      <c r="E293" s="90">
        <v>10</v>
      </c>
      <c r="F293" s="37"/>
      <c r="G293" s="37"/>
      <c r="H293" s="38"/>
      <c r="I293" s="38"/>
      <c r="J293" s="39"/>
      <c r="K293" s="40">
        <v>0</v>
      </c>
      <c r="L293" s="41">
        <v>0</v>
      </c>
      <c r="M293" s="40">
        <f t="shared" ref="M293:M300" si="33">+K293+L293*K293/100</f>
        <v>0</v>
      </c>
      <c r="N293" s="42">
        <f t="shared" ref="N293:N300" si="34">+K293*E293</f>
        <v>0</v>
      </c>
      <c r="O293" s="43">
        <f t="shared" ref="O293:O300" si="35">+M293*E293</f>
        <v>0</v>
      </c>
    </row>
    <row r="294" spans="1:15">
      <c r="A294" s="74">
        <v>2</v>
      </c>
      <c r="B294" s="91">
        <v>1028000013</v>
      </c>
      <c r="C294" s="46" t="s">
        <v>151</v>
      </c>
      <c r="D294" s="92" t="s">
        <v>150</v>
      </c>
      <c r="E294" s="92">
        <v>10</v>
      </c>
      <c r="F294" s="47"/>
      <c r="G294" s="47"/>
      <c r="H294" s="48"/>
      <c r="I294" s="48"/>
      <c r="J294" s="49"/>
      <c r="K294" s="50">
        <v>0</v>
      </c>
      <c r="L294" s="51">
        <v>0</v>
      </c>
      <c r="M294" s="50">
        <f t="shared" si="33"/>
        <v>0</v>
      </c>
      <c r="N294" s="52">
        <f t="shared" si="34"/>
        <v>0</v>
      </c>
      <c r="O294" s="53">
        <f t="shared" si="35"/>
        <v>0</v>
      </c>
    </row>
    <row r="295" spans="1:15">
      <c r="A295" s="74">
        <v>3</v>
      </c>
      <c r="B295" s="91">
        <v>1028000060</v>
      </c>
      <c r="C295" s="46" t="s">
        <v>152</v>
      </c>
      <c r="D295" s="92" t="s">
        <v>150</v>
      </c>
      <c r="E295" s="92">
        <v>50</v>
      </c>
      <c r="F295" s="47"/>
      <c r="G295" s="47"/>
      <c r="H295" s="48"/>
      <c r="I295" s="48"/>
      <c r="J295" s="49"/>
      <c r="K295" s="50">
        <v>0</v>
      </c>
      <c r="L295" s="51">
        <v>0</v>
      </c>
      <c r="M295" s="50">
        <f t="shared" si="33"/>
        <v>0</v>
      </c>
      <c r="N295" s="52">
        <f t="shared" si="34"/>
        <v>0</v>
      </c>
      <c r="O295" s="53">
        <f t="shared" si="35"/>
        <v>0</v>
      </c>
    </row>
    <row r="296" spans="1:15">
      <c r="A296" s="74">
        <v>4</v>
      </c>
      <c r="B296" s="91"/>
      <c r="C296" s="46" t="s">
        <v>153</v>
      </c>
      <c r="D296" s="92" t="s">
        <v>150</v>
      </c>
      <c r="E296" s="92">
        <v>10</v>
      </c>
      <c r="F296" s="47"/>
      <c r="G296" s="47"/>
      <c r="H296" s="48"/>
      <c r="I296" s="48"/>
      <c r="J296" s="49"/>
      <c r="K296" s="50">
        <v>0</v>
      </c>
      <c r="L296" s="51">
        <v>0</v>
      </c>
      <c r="M296" s="50">
        <f t="shared" si="33"/>
        <v>0</v>
      </c>
      <c r="N296" s="52">
        <f t="shared" si="34"/>
        <v>0</v>
      </c>
      <c r="O296" s="53">
        <f t="shared" si="35"/>
        <v>0</v>
      </c>
    </row>
    <row r="297" spans="1:15">
      <c r="A297" s="74">
        <v>5</v>
      </c>
      <c r="B297" s="91"/>
      <c r="C297" s="46" t="s">
        <v>154</v>
      </c>
      <c r="D297" s="92" t="s">
        <v>150</v>
      </c>
      <c r="E297" s="92">
        <v>10</v>
      </c>
      <c r="F297" s="47"/>
      <c r="G297" s="47"/>
      <c r="H297" s="48"/>
      <c r="I297" s="48"/>
      <c r="J297" s="49"/>
      <c r="K297" s="50">
        <v>0</v>
      </c>
      <c r="L297" s="51">
        <v>0</v>
      </c>
      <c r="M297" s="50">
        <f t="shared" si="33"/>
        <v>0</v>
      </c>
      <c r="N297" s="52">
        <f t="shared" si="34"/>
        <v>0</v>
      </c>
      <c r="O297" s="53">
        <f t="shared" si="35"/>
        <v>0</v>
      </c>
    </row>
    <row r="298" spans="1:15">
      <c r="A298" s="74">
        <v>6</v>
      </c>
      <c r="B298" s="91">
        <v>1028000021</v>
      </c>
      <c r="C298" s="46" t="s">
        <v>155</v>
      </c>
      <c r="D298" s="92" t="s">
        <v>156</v>
      </c>
      <c r="E298" s="92">
        <v>6</v>
      </c>
      <c r="F298" s="47"/>
      <c r="G298" s="47"/>
      <c r="H298" s="48"/>
      <c r="I298" s="48"/>
      <c r="J298" s="49"/>
      <c r="K298" s="50">
        <v>0</v>
      </c>
      <c r="L298" s="51">
        <v>0</v>
      </c>
      <c r="M298" s="50">
        <f t="shared" si="33"/>
        <v>0</v>
      </c>
      <c r="N298" s="52">
        <f t="shared" si="34"/>
        <v>0</v>
      </c>
      <c r="O298" s="53">
        <f t="shared" si="35"/>
        <v>0</v>
      </c>
    </row>
    <row r="299" spans="1:15">
      <c r="A299" s="74">
        <v>7</v>
      </c>
      <c r="B299" s="91">
        <v>1028000017</v>
      </c>
      <c r="C299" s="46" t="s">
        <v>157</v>
      </c>
      <c r="D299" s="92" t="s">
        <v>156</v>
      </c>
      <c r="E299" s="92">
        <v>12</v>
      </c>
      <c r="F299" s="47"/>
      <c r="G299" s="47"/>
      <c r="H299" s="48"/>
      <c r="I299" s="48"/>
      <c r="J299" s="49"/>
      <c r="K299" s="50">
        <v>0</v>
      </c>
      <c r="L299" s="51">
        <v>0</v>
      </c>
      <c r="M299" s="50">
        <f t="shared" si="33"/>
        <v>0</v>
      </c>
      <c r="N299" s="52">
        <f t="shared" si="34"/>
        <v>0</v>
      </c>
      <c r="O299" s="53">
        <f t="shared" si="35"/>
        <v>0</v>
      </c>
    </row>
    <row r="300" spans="1:15">
      <c r="A300" s="75">
        <v>8</v>
      </c>
      <c r="B300" s="93">
        <v>102800062</v>
      </c>
      <c r="C300" s="63" t="s">
        <v>158</v>
      </c>
      <c r="D300" s="94" t="s">
        <v>156</v>
      </c>
      <c r="E300" s="94">
        <v>10</v>
      </c>
      <c r="F300" s="78"/>
      <c r="G300" s="78"/>
      <c r="H300" s="66"/>
      <c r="I300" s="66"/>
      <c r="J300" s="65"/>
      <c r="K300" s="67">
        <v>0</v>
      </c>
      <c r="L300" s="68">
        <v>0</v>
      </c>
      <c r="M300" s="67">
        <f t="shared" si="33"/>
        <v>0</v>
      </c>
      <c r="N300" s="69">
        <f t="shared" si="34"/>
        <v>0</v>
      </c>
      <c r="O300" s="70">
        <f t="shared" si="35"/>
        <v>0</v>
      </c>
    </row>
    <row r="301" spans="1:15" ht="15.75">
      <c r="A301" s="120" t="s">
        <v>46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71">
        <f>SUM(N293:N300)</f>
        <v>0</v>
      </c>
      <c r="O301" s="72">
        <f>SUM(O293:O300)</f>
        <v>0</v>
      </c>
    </row>
    <row r="302" spans="1:15" ht="15.7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80"/>
      <c r="O302" s="80"/>
    </row>
    <row r="303" spans="1:15">
      <c r="A303" s="18"/>
      <c r="B303" s="18"/>
      <c r="C303" s="19" t="s">
        <v>47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>
      <c r="A304" s="18"/>
      <c r="B304" s="18"/>
      <c r="C304" s="19" t="s">
        <v>48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1:17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7" ht="15.75">
      <c r="A306" s="116" t="s">
        <v>159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95">
        <f>+N301+N285+N264+N249+N237+N167+N153+N133+N105+N70+N58+N31</f>
        <v>0</v>
      </c>
      <c r="O306" s="96">
        <f>+O301+O285+O264+O249+O237+O167+O153+O133+O105+O70+O58+O31</f>
        <v>0</v>
      </c>
    </row>
    <row r="307" spans="1:1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97"/>
      <c r="N307" s="97"/>
      <c r="O307" s="18"/>
    </row>
    <row r="308" spans="1:17">
      <c r="A308" s="98" t="s">
        <v>160</v>
      </c>
      <c r="B308" s="99"/>
      <c r="C308" s="100"/>
      <c r="D308" s="101"/>
      <c r="E308" s="99"/>
      <c r="F308" s="99"/>
      <c r="G308" s="99"/>
      <c r="H308" s="102"/>
      <c r="I308" s="102"/>
      <c r="J308" s="102"/>
      <c r="K308" s="102"/>
      <c r="L308" s="102"/>
      <c r="M308" s="102"/>
      <c r="N308" s="102"/>
      <c r="O308" s="99"/>
    </row>
    <row r="309" spans="1:17">
      <c r="A309" s="117" t="s">
        <v>161</v>
      </c>
      <c r="B309" s="117"/>
      <c r="C309" s="117"/>
      <c r="D309" s="118" t="s">
        <v>162</v>
      </c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99"/>
    </row>
    <row r="310" spans="1:17">
      <c r="A310" s="103" t="s">
        <v>163</v>
      </c>
      <c r="B310" s="104"/>
      <c r="C310" s="104"/>
      <c r="D310" s="114" t="s">
        <v>164</v>
      </c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99"/>
    </row>
    <row r="311" spans="1:17">
      <c r="A311" s="119" t="s">
        <v>165</v>
      </c>
      <c r="B311" s="119"/>
      <c r="C311" s="119"/>
      <c r="D311" s="114" t="s">
        <v>166</v>
      </c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99"/>
    </row>
    <row r="312" spans="1:17">
      <c r="A312" s="103" t="s">
        <v>167</v>
      </c>
      <c r="B312" s="104"/>
      <c r="C312" s="104"/>
      <c r="D312" s="114" t="s">
        <v>168</v>
      </c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99"/>
    </row>
    <row r="313" spans="1:17">
      <c r="A313" s="103" t="s">
        <v>169</v>
      </c>
      <c r="B313" s="104"/>
      <c r="C313" s="104"/>
      <c r="D313" s="114" t="s">
        <v>170</v>
      </c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8"/>
    </row>
    <row r="314" spans="1:17">
      <c r="A314" s="105" t="s">
        <v>171</v>
      </c>
      <c r="B314" s="106"/>
      <c r="C314" s="106"/>
      <c r="D314" s="115" t="s">
        <v>172</v>
      </c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8"/>
      <c r="Q314" s="107"/>
    </row>
    <row r="315" spans="1:17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7">
      <c r="A316" s="19" t="s">
        <v>173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1:17">
      <c r="A318" s="100" t="s">
        <v>174</v>
      </c>
      <c r="B318" s="108"/>
      <c r="C318" s="100"/>
      <c r="D318" s="102"/>
      <c r="E318" s="99"/>
      <c r="F318" s="99"/>
      <c r="G318" s="102" t="s">
        <v>175</v>
      </c>
      <c r="H318" s="102"/>
      <c r="I318" s="102"/>
      <c r="J318" s="102"/>
      <c r="K318" s="102"/>
      <c r="L318" s="18"/>
      <c r="M318" s="18"/>
      <c r="N318" s="18"/>
      <c r="O318" s="18"/>
    </row>
    <row r="319" spans="1:17">
      <c r="A319" s="100" t="s">
        <v>176</v>
      </c>
      <c r="B319" s="109"/>
      <c r="C319" s="100"/>
      <c r="D319" s="102"/>
      <c r="E319" s="99"/>
      <c r="F319" s="99"/>
      <c r="G319" s="102"/>
      <c r="H319" s="102"/>
      <c r="I319" s="102"/>
      <c r="J319" s="102"/>
      <c r="K319" s="102"/>
      <c r="L319" s="18"/>
      <c r="M319" s="18"/>
      <c r="N319" s="18"/>
      <c r="O319" s="18"/>
    </row>
    <row r="320" spans="1:17">
      <c r="A320" s="110"/>
      <c r="B320" s="111"/>
      <c r="C320" s="102"/>
      <c r="D320" s="102"/>
      <c r="E320" s="99"/>
      <c r="F320" s="99"/>
      <c r="G320" s="108"/>
      <c r="H320" s="108"/>
      <c r="I320" s="108"/>
      <c r="J320" s="108"/>
      <c r="K320" s="102"/>
      <c r="L320" s="18"/>
      <c r="M320" s="18"/>
      <c r="N320" s="18"/>
      <c r="O320" s="18"/>
    </row>
    <row r="321" spans="1: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1: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1: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1:15">
      <c r="A324" s="23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</sheetData>
  <mergeCells count="35">
    <mergeCell ref="E8:F8"/>
    <mergeCell ref="A10:N10"/>
    <mergeCell ref="A12:O12"/>
    <mergeCell ref="A31:M31"/>
    <mergeCell ref="A36:O36"/>
    <mergeCell ref="A58:M58"/>
    <mergeCell ref="A63:O63"/>
    <mergeCell ref="A70:M70"/>
    <mergeCell ref="A75:O75"/>
    <mergeCell ref="A105:M105"/>
    <mergeCell ref="A110:O110"/>
    <mergeCell ref="A133:M133"/>
    <mergeCell ref="A138:O138"/>
    <mergeCell ref="A153:M153"/>
    <mergeCell ref="A158:O158"/>
    <mergeCell ref="A167:M167"/>
    <mergeCell ref="A172:O172"/>
    <mergeCell ref="A237:M237"/>
    <mergeCell ref="A242:O242"/>
    <mergeCell ref="A249:M249"/>
    <mergeCell ref="A254:O254"/>
    <mergeCell ref="A264:M264"/>
    <mergeCell ref="A269:O269"/>
    <mergeCell ref="A285:M285"/>
    <mergeCell ref="A290:O290"/>
    <mergeCell ref="A301:M301"/>
    <mergeCell ref="D312:N312"/>
    <mergeCell ref="D313:N313"/>
    <mergeCell ref="D314:N314"/>
    <mergeCell ref="A306:M306"/>
    <mergeCell ref="A309:C309"/>
    <mergeCell ref="D309:N309"/>
    <mergeCell ref="D310:N310"/>
    <mergeCell ref="A311:C311"/>
    <mergeCell ref="D311:N311"/>
  </mergeCells>
  <pageMargins left="0.7" right="0.7" top="0.75" bottom="0.75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zobozdravstveni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Kos</dc:creator>
  <dc:description/>
  <cp:lastModifiedBy>Mojca Kos</cp:lastModifiedBy>
  <cp:revision>3</cp:revision>
  <cp:lastPrinted>2020-05-17T18:10:12Z</cp:lastPrinted>
  <dcterms:created xsi:type="dcterms:W3CDTF">2020-03-07T07:14:36Z</dcterms:created>
  <dcterms:modified xsi:type="dcterms:W3CDTF">2020-05-20T19:42:43Z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